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7245" windowWidth="18945" windowHeight="1050"/>
  </bookViews>
  <sheets>
    <sheet name="Aggregation rules" sheetId="8" r:id="rId1"/>
    <sheet name="Requirement rules" sheetId="7" r:id="rId2"/>
    <sheet name="Data continuity" sheetId="9" r:id="rId3"/>
    <sheet name="Decadal panel members" sheetId="11" r:id="rId4"/>
    <sheet name="Images" sheetId="12" r:id="rId5"/>
    <sheet name="Images2" sheetId="13" r:id="rId6"/>
    <sheet name="Sheet1" sheetId="14" r:id="rId7"/>
  </sheets>
  <externalReferences>
    <externalReference r:id="rId8"/>
  </externalReferences>
  <definedNames>
    <definedName name="continuity">'Data continuity'!$P$9:$P$12</definedName>
    <definedName name="importance">'Data continuity'!$P$3:$P$6</definedName>
  </definedNames>
  <calcPr calcId="145621"/>
</workbook>
</file>

<file path=xl/calcChain.xml><?xml version="1.0" encoding="utf-8"?>
<calcChain xmlns="http://schemas.openxmlformats.org/spreadsheetml/2006/main">
  <c r="AG23" i="8" l="1"/>
  <c r="AG18" i="8"/>
  <c r="AG13" i="8"/>
  <c r="W8" i="8"/>
  <c r="I19" i="8"/>
  <c r="G18" i="8"/>
  <c r="V8" i="8" s="1"/>
  <c r="M13" i="8"/>
  <c r="M8" i="8"/>
  <c r="I35" i="8"/>
  <c r="I34" i="8"/>
  <c r="I33" i="8"/>
  <c r="I32" i="8"/>
  <c r="I31" i="8"/>
  <c r="I23" i="8"/>
  <c r="I26" i="8"/>
  <c r="I25" i="8"/>
  <c r="I24" i="8"/>
  <c r="I7" i="8"/>
  <c r="G6" i="8"/>
  <c r="L13" i="8" s="1"/>
  <c r="G35" i="8"/>
  <c r="AF23" i="8" s="1"/>
  <c r="G34" i="8"/>
  <c r="AF18" i="8" s="1"/>
  <c r="G33" i="8"/>
  <c r="AF13" i="8" s="1"/>
  <c r="G5" i="8"/>
  <c r="L8" i="8" s="1"/>
  <c r="AH81" i="14" l="1"/>
  <c r="AH80" i="14"/>
  <c r="AH79" i="14"/>
  <c r="AH78" i="14"/>
  <c r="AH77" i="14"/>
  <c r="AH76" i="14"/>
  <c r="AH82" i="14" s="1"/>
  <c r="AG74" i="14"/>
  <c r="AH71" i="14"/>
  <c r="AH70" i="14"/>
  <c r="AH69" i="14"/>
  <c r="AH68" i="14"/>
  <c r="AH72" i="14" s="1"/>
  <c r="N68" i="14"/>
  <c r="N67" i="14"/>
  <c r="AG66" i="14"/>
  <c r="N66" i="14"/>
  <c r="N65" i="14"/>
  <c r="N64" i="14"/>
  <c r="AH63" i="14"/>
  <c r="N63" i="14"/>
  <c r="AH62" i="14"/>
  <c r="N62" i="14"/>
  <c r="AH61" i="14"/>
  <c r="N61" i="14"/>
  <c r="AH60" i="14"/>
  <c r="N60" i="14"/>
  <c r="AH59" i="14"/>
  <c r="N59" i="14"/>
  <c r="I59" i="14"/>
  <c r="AH58" i="14"/>
  <c r="N58" i="14"/>
  <c r="G58" i="14"/>
  <c r="AH57" i="14"/>
  <c r="N57" i="14"/>
  <c r="N69" i="14" s="1"/>
  <c r="G57" i="14"/>
  <c r="AH56" i="14"/>
  <c r="G56" i="14"/>
  <c r="AH55" i="14"/>
  <c r="S55" i="14"/>
  <c r="M55" i="14"/>
  <c r="G55" i="14"/>
  <c r="AH54" i="14"/>
  <c r="S54" i="14"/>
  <c r="G54" i="14"/>
  <c r="AH53" i="14"/>
  <c r="S53" i="14"/>
  <c r="AH52" i="14"/>
  <c r="AC52" i="14"/>
  <c r="S52" i="14"/>
  <c r="S56" i="14" s="1"/>
  <c r="N52" i="14"/>
  <c r="F52" i="14"/>
  <c r="AH51" i="14"/>
  <c r="AC51" i="14"/>
  <c r="N51" i="14"/>
  <c r="AH50" i="14"/>
  <c r="AC50" i="14"/>
  <c r="R50" i="14"/>
  <c r="N50" i="14"/>
  <c r="AH49" i="14"/>
  <c r="AC49" i="14"/>
  <c r="AC53" i="14" s="1"/>
  <c r="N49" i="14"/>
  <c r="I49" i="14"/>
  <c r="G49" i="14"/>
  <c r="AF74" i="14" s="1"/>
  <c r="AH48" i="14"/>
  <c r="N48" i="14"/>
  <c r="I48" i="14"/>
  <c r="G48" i="14"/>
  <c r="AF66" i="14" s="1"/>
  <c r="AH47" i="14"/>
  <c r="AB47" i="14"/>
  <c r="S47" i="14"/>
  <c r="N47" i="14"/>
  <c r="I47" i="14"/>
  <c r="G47" i="14"/>
  <c r="AH46" i="14"/>
  <c r="AH64" i="14" s="1"/>
  <c r="S46" i="14"/>
  <c r="N46" i="14"/>
  <c r="N53" i="14" s="1"/>
  <c r="I46" i="14"/>
  <c r="G46" i="14"/>
  <c r="S45" i="14"/>
  <c r="I45" i="14"/>
  <c r="G45" i="14"/>
  <c r="AG44" i="14"/>
  <c r="AF44" i="14"/>
  <c r="AF58" i="14" s="1"/>
  <c r="AC44" i="14"/>
  <c r="S44" i="14"/>
  <c r="M44" i="14"/>
  <c r="I44" i="14"/>
  <c r="I50" i="14" s="1"/>
  <c r="G44" i="14"/>
  <c r="AC43" i="14"/>
  <c r="S43" i="14"/>
  <c r="AC42" i="14"/>
  <c r="AC45" i="14" s="1"/>
  <c r="S42" i="14"/>
  <c r="S48" i="14" s="1"/>
  <c r="N42" i="14"/>
  <c r="F42" i="14"/>
  <c r="AH41" i="14"/>
  <c r="AH40" i="14"/>
  <c r="AB40" i="14"/>
  <c r="R40" i="14"/>
  <c r="I40" i="14"/>
  <c r="AH39" i="14"/>
  <c r="X39" i="14"/>
  <c r="M39" i="14"/>
  <c r="G39" i="14"/>
  <c r="AA47" i="14" s="1"/>
  <c r="AH38" i="14"/>
  <c r="AH42" i="14" s="1"/>
  <c r="X38" i="14"/>
  <c r="G38" i="14"/>
  <c r="AA40" i="14" s="1"/>
  <c r="AC37" i="14"/>
  <c r="X37" i="14"/>
  <c r="X40" i="14" s="1"/>
  <c r="S37" i="14"/>
  <c r="G37" i="14"/>
  <c r="AG36" i="14"/>
  <c r="AF36" i="14"/>
  <c r="AF40" i="14" s="1"/>
  <c r="AC36" i="14"/>
  <c r="S36" i="14"/>
  <c r="N36" i="14"/>
  <c r="G36" i="14"/>
  <c r="AC35" i="14"/>
  <c r="W35" i="14"/>
  <c r="S35" i="14"/>
  <c r="N35" i="14"/>
  <c r="G35" i="14"/>
  <c r="AM34" i="14"/>
  <c r="AC34" i="14"/>
  <c r="AC38" i="14" s="1"/>
  <c r="S34" i="14"/>
  <c r="N34" i="14"/>
  <c r="G34" i="14"/>
  <c r="AH33" i="14"/>
  <c r="S33" i="14"/>
  <c r="N33" i="14"/>
  <c r="G33" i="14"/>
  <c r="AH32" i="14"/>
  <c r="AB32" i="14"/>
  <c r="AA32" i="14"/>
  <c r="AA37" i="14" s="1"/>
  <c r="X32" i="14"/>
  <c r="S32" i="14"/>
  <c r="S38" i="14" s="1"/>
  <c r="N32" i="14"/>
  <c r="N37" i="14" s="1"/>
  <c r="AL31" i="14"/>
  <c r="AK31" i="14"/>
  <c r="AK33" i="14" s="1"/>
  <c r="AH31" i="14"/>
  <c r="X31" i="14"/>
  <c r="F31" i="14"/>
  <c r="AH30" i="14"/>
  <c r="AH34" i="14" s="1"/>
  <c r="X30" i="14"/>
  <c r="R30" i="14"/>
  <c r="M30" i="14"/>
  <c r="AC29" i="14"/>
  <c r="X29" i="14"/>
  <c r="X33" i="14" s="1"/>
  <c r="I29" i="14"/>
  <c r="AM28" i="14"/>
  <c r="AG28" i="14"/>
  <c r="AF28" i="14"/>
  <c r="AF33" i="14" s="1"/>
  <c r="AC28" i="14"/>
  <c r="G28" i="14"/>
  <c r="V35" i="14" s="1"/>
  <c r="AM27" i="14"/>
  <c r="AC27" i="14"/>
  <c r="W27" i="14"/>
  <c r="S27" i="14"/>
  <c r="N27" i="14"/>
  <c r="G27" i="14"/>
  <c r="V27" i="14" s="1"/>
  <c r="AM26" i="14"/>
  <c r="AC26" i="14"/>
  <c r="AC30" i="14" s="1"/>
  <c r="S26" i="14"/>
  <c r="N26" i="14"/>
  <c r="G26" i="14"/>
  <c r="AM25" i="14"/>
  <c r="AM29" i="14" s="1"/>
  <c r="AH25" i="14"/>
  <c r="S25" i="14"/>
  <c r="N25" i="14"/>
  <c r="G25" i="14"/>
  <c r="AH24" i="14"/>
  <c r="AB24" i="14"/>
  <c r="AA24" i="14"/>
  <c r="AA28" i="14" s="1"/>
  <c r="X24" i="14"/>
  <c r="S24" i="14"/>
  <c r="N24" i="14"/>
  <c r="N28" i="14" s="1"/>
  <c r="G24" i="14"/>
  <c r="AL23" i="14"/>
  <c r="AK23" i="14"/>
  <c r="AK28" i="14" s="1"/>
  <c r="AH23" i="14"/>
  <c r="X23" i="14"/>
  <c r="S23" i="14"/>
  <c r="AH22" i="14"/>
  <c r="X22" i="14"/>
  <c r="X25" i="14" s="1"/>
  <c r="S22" i="14"/>
  <c r="M22" i="14"/>
  <c r="F22" i="14"/>
  <c r="AH21" i="14"/>
  <c r="AC21" i="14"/>
  <c r="S21" i="14"/>
  <c r="S28" i="14" s="1"/>
  <c r="AM20" i="14"/>
  <c r="AH20" i="14"/>
  <c r="AC20" i="14"/>
  <c r="W20" i="14"/>
  <c r="V20" i="14"/>
  <c r="I20" i="14"/>
  <c r="AM19" i="14"/>
  <c r="AM21" i="14" s="1"/>
  <c r="AH19" i="14"/>
  <c r="AC19" i="14"/>
  <c r="R19" i="14"/>
  <c r="N19" i="14"/>
  <c r="G19" i="14"/>
  <c r="Q50" i="14" s="1"/>
  <c r="AH18" i="14"/>
  <c r="AC18" i="14"/>
  <c r="AA18" i="14"/>
  <c r="N18" i="14"/>
  <c r="G18" i="14"/>
  <c r="Q40" i="14" s="1"/>
  <c r="AL17" i="14"/>
  <c r="AK17" i="14"/>
  <c r="AK20" i="14" s="1"/>
  <c r="AH17" i="14"/>
  <c r="N17" i="14"/>
  <c r="G17" i="14"/>
  <c r="Q30" i="14" s="1"/>
  <c r="AH16" i="14"/>
  <c r="AB16" i="14"/>
  <c r="AA16" i="14"/>
  <c r="AA21" i="14" s="1"/>
  <c r="X16" i="14"/>
  <c r="S16" i="14"/>
  <c r="N16" i="14"/>
  <c r="G16" i="14"/>
  <c r="Q19" i="14" s="1"/>
  <c r="AH15" i="14"/>
  <c r="V15" i="14"/>
  <c r="S15" i="14"/>
  <c r="N15" i="14"/>
  <c r="G15" i="14"/>
  <c r="AM14" i="14"/>
  <c r="AH14" i="14"/>
  <c r="X14" i="14"/>
  <c r="X18" i="14" s="1"/>
  <c r="V14" i="14"/>
  <c r="S14" i="14"/>
  <c r="N14" i="14"/>
  <c r="N20" i="14" s="1"/>
  <c r="AM13" i="14"/>
  <c r="AH13" i="14"/>
  <c r="AC13" i="14"/>
  <c r="AA13" i="14"/>
  <c r="S13" i="14"/>
  <c r="F13" i="14"/>
  <c r="AM12" i="14"/>
  <c r="AM15" i="14" s="1"/>
  <c r="AH12" i="14"/>
  <c r="AC12" i="14"/>
  <c r="W12" i="14"/>
  <c r="V12" i="14"/>
  <c r="V17" i="14" s="1"/>
  <c r="S12" i="14"/>
  <c r="M12" i="14"/>
  <c r="AH11" i="14"/>
  <c r="AC11" i="14"/>
  <c r="AC14" i="14" s="1"/>
  <c r="S11" i="14"/>
  <c r="I11" i="14"/>
  <c r="AL10" i="14"/>
  <c r="AK10" i="14"/>
  <c r="AK13" i="14" s="1"/>
  <c r="AH10" i="14"/>
  <c r="S10" i="14"/>
  <c r="N10" i="14"/>
  <c r="G10" i="14"/>
  <c r="L55" i="14" s="1"/>
  <c r="AH9" i="14"/>
  <c r="AB9" i="14"/>
  <c r="AA9" i="14"/>
  <c r="AA12" i="14" s="1"/>
  <c r="S9" i="14"/>
  <c r="G9" i="14"/>
  <c r="L44" i="14" s="1"/>
  <c r="D9" i="14"/>
  <c r="AH8" i="14"/>
  <c r="AF8" i="14"/>
  <c r="X8" i="14"/>
  <c r="V8" i="14"/>
  <c r="S8" i="14"/>
  <c r="Q8" i="14"/>
  <c r="G8" i="14"/>
  <c r="L39" i="14" s="1"/>
  <c r="L41" i="14" s="1"/>
  <c r="AM7" i="14"/>
  <c r="AK7" i="14"/>
  <c r="AH7" i="14"/>
  <c r="AF7" i="14"/>
  <c r="X7" i="14"/>
  <c r="S7" i="14"/>
  <c r="L7" i="14"/>
  <c r="G7" i="14"/>
  <c r="L30" i="14" s="1"/>
  <c r="AM6" i="14"/>
  <c r="AM8" i="14" s="1"/>
  <c r="AH6" i="14"/>
  <c r="AC6" i="14"/>
  <c r="V6" i="14"/>
  <c r="S6" i="14"/>
  <c r="Q6" i="14"/>
  <c r="G6" i="14"/>
  <c r="L22" i="14" s="1"/>
  <c r="AM5" i="14"/>
  <c r="AK5" i="14"/>
  <c r="AH5" i="14"/>
  <c r="AF5" i="14"/>
  <c r="AC5" i="14"/>
  <c r="AC7" i="14" s="1"/>
  <c r="AA5" i="14"/>
  <c r="X5" i="14"/>
  <c r="X10" i="14" s="1"/>
  <c r="V5" i="14"/>
  <c r="S5" i="14"/>
  <c r="S17" i="14" s="1"/>
  <c r="Q5" i="14"/>
  <c r="G5" i="14"/>
  <c r="L12" i="14" s="1"/>
  <c r="G4" i="14"/>
  <c r="AL3" i="14"/>
  <c r="AK3" i="14"/>
  <c r="AK6" i="14" s="1"/>
  <c r="AG3" i="14"/>
  <c r="AF3" i="14"/>
  <c r="AB3" i="14"/>
  <c r="AA3" i="14"/>
  <c r="AA6" i="14" s="1"/>
  <c r="W3" i="14"/>
  <c r="V3" i="14"/>
  <c r="V9" i="14" s="1"/>
  <c r="R3" i="14"/>
  <c r="Q3" i="14"/>
  <c r="Q15" i="14" s="1"/>
  <c r="M3" i="14"/>
  <c r="L3" i="14"/>
  <c r="L9" i="14" s="1"/>
  <c r="AJ2" i="14"/>
  <c r="AE2" i="14"/>
  <c r="Z2" i="14"/>
  <c r="U2" i="14"/>
  <c r="P2" i="14"/>
  <c r="F2" i="14"/>
  <c r="K2" i="14" s="1"/>
  <c r="Q24" i="14" l="1"/>
  <c r="Q22" i="14"/>
  <c r="Q27" i="14"/>
  <c r="Q26" i="14"/>
  <c r="Q25" i="14"/>
  <c r="Q23" i="14"/>
  <c r="Q21" i="14"/>
  <c r="L17" i="14"/>
  <c r="L15" i="14"/>
  <c r="L14" i="14"/>
  <c r="L19" i="14"/>
  <c r="L18" i="14"/>
  <c r="L16" i="14"/>
  <c r="AF25" i="14"/>
  <c r="AF24" i="14"/>
  <c r="AF21" i="14"/>
  <c r="AF23" i="14"/>
  <c r="AF22" i="14"/>
  <c r="L5" i="14"/>
  <c r="AH26" i="14"/>
  <c r="L6" i="14"/>
  <c r="AF6" i="14"/>
  <c r="L36" i="14"/>
  <c r="L34" i="14"/>
  <c r="L32" i="14"/>
  <c r="L35" i="14"/>
  <c r="L33" i="14"/>
  <c r="Q7" i="14"/>
  <c r="V7" i="14"/>
  <c r="L8" i="14"/>
  <c r="AF9" i="14"/>
  <c r="L68" i="14"/>
  <c r="L67" i="14"/>
  <c r="L66" i="14"/>
  <c r="L65" i="14"/>
  <c r="L58" i="14"/>
  <c r="L64" i="14"/>
  <c r="L63" i="14"/>
  <c r="L62" i="14"/>
  <c r="L61" i="14"/>
  <c r="L60" i="14"/>
  <c r="L59" i="14"/>
  <c r="L57" i="14"/>
  <c r="Q10" i="14"/>
  <c r="Q11" i="14"/>
  <c r="AA11" i="14"/>
  <c r="AF11" i="14"/>
  <c r="Q12" i="14"/>
  <c r="AF12" i="14"/>
  <c r="AK12" i="14"/>
  <c r="AF14" i="14"/>
  <c r="AK14" i="14"/>
  <c r="AF15" i="14"/>
  <c r="Q16" i="14"/>
  <c r="V16" i="14"/>
  <c r="AF16" i="14"/>
  <c r="Q37" i="14"/>
  <c r="Q36" i="14"/>
  <c r="Q34" i="14"/>
  <c r="Q32" i="14"/>
  <c r="Q35" i="14"/>
  <c r="Q33" i="14"/>
  <c r="AC22" i="14"/>
  <c r="AA19" i="14"/>
  <c r="AF19" i="14"/>
  <c r="AK19" i="14"/>
  <c r="V24" i="14"/>
  <c r="V22" i="14"/>
  <c r="V23" i="14"/>
  <c r="AA20" i="14"/>
  <c r="AF20" i="14"/>
  <c r="V32" i="14"/>
  <c r="V31" i="14"/>
  <c r="V30" i="14"/>
  <c r="V29" i="14"/>
  <c r="V39" i="14"/>
  <c r="V38" i="14"/>
  <c r="V37" i="14"/>
  <c r="AA52" i="14"/>
  <c r="AA49" i="14"/>
  <c r="AA51" i="14"/>
  <c r="AA50" i="14"/>
  <c r="AF68" i="14"/>
  <c r="AF71" i="14"/>
  <c r="AF70" i="14"/>
  <c r="AF69" i="14"/>
  <c r="AF81" i="14"/>
  <c r="AF80" i="14"/>
  <c r="AF79" i="14"/>
  <c r="AF78" i="14"/>
  <c r="AF77" i="14"/>
  <c r="AF76" i="14"/>
  <c r="L24" i="14"/>
  <c r="L27" i="14"/>
  <c r="L26" i="14"/>
  <c r="L25" i="14"/>
  <c r="L52" i="14"/>
  <c r="L49" i="14"/>
  <c r="L51" i="14"/>
  <c r="L50" i="14"/>
  <c r="L48" i="14"/>
  <c r="L47" i="14"/>
  <c r="L46" i="14"/>
  <c r="Q9" i="14"/>
  <c r="AF10" i="14"/>
  <c r="Q13" i="14"/>
  <c r="AF13" i="14"/>
  <c r="Q14" i="14"/>
  <c r="AF17" i="14"/>
  <c r="Q45" i="14"/>
  <c r="Q44" i="14"/>
  <c r="Q43" i="14"/>
  <c r="Q47" i="14"/>
  <c r="Q46" i="14"/>
  <c r="Q42" i="14"/>
  <c r="AF18" i="14"/>
  <c r="Q55" i="14"/>
  <c r="Q52" i="14"/>
  <c r="Q54" i="14"/>
  <c r="Q53" i="14"/>
  <c r="AA44" i="14"/>
  <c r="AA43" i="14"/>
  <c r="AA42" i="14"/>
  <c r="AA26" i="14"/>
  <c r="AA27" i="14"/>
  <c r="AK27" i="14"/>
  <c r="AA29" i="14"/>
  <c r="AF30" i="14"/>
  <c r="AA35" i="14"/>
  <c r="AF38" i="14"/>
  <c r="AF41" i="14"/>
  <c r="AF46" i="14"/>
  <c r="AF47" i="14"/>
  <c r="AF50" i="14"/>
  <c r="AF51" i="14"/>
  <c r="AF54" i="14"/>
  <c r="AF57" i="14"/>
  <c r="AF59" i="14"/>
  <c r="AF60" i="14"/>
  <c r="AF61" i="14"/>
  <c r="AF62" i="14"/>
  <c r="AF63" i="14"/>
  <c r="AK25" i="14"/>
  <c r="AK26" i="14"/>
  <c r="AF31" i="14"/>
  <c r="AF32" i="14"/>
  <c r="AA34" i="14"/>
  <c r="AA36" i="14"/>
  <c r="AF39" i="14"/>
  <c r="AF48" i="14"/>
  <c r="AF49" i="14"/>
  <c r="AF52" i="14"/>
  <c r="AF53" i="14"/>
  <c r="AF55" i="14"/>
  <c r="AF56" i="14"/>
  <c r="B4" i="12" l="1"/>
  <c r="B3" i="12"/>
  <c r="AG8" i="8" l="1"/>
  <c r="AG3" i="8"/>
  <c r="AC6" i="8"/>
  <c r="AC5" i="8"/>
  <c r="AB19" i="8"/>
  <c r="AB14" i="8"/>
  <c r="AB9" i="8"/>
  <c r="AB3" i="8"/>
  <c r="W3" i="8"/>
  <c r="I27" i="8"/>
  <c r="G32" i="8"/>
  <c r="AF8" i="8" s="1"/>
  <c r="G31" i="8"/>
  <c r="AF3" i="8" s="1"/>
  <c r="F29" i="8"/>
  <c r="AE2" i="8" s="1"/>
  <c r="G24" i="8"/>
  <c r="AA9" i="8" s="1"/>
  <c r="G25" i="8"/>
  <c r="AA14" i="8" s="1"/>
  <c r="G26" i="8"/>
  <c r="AA19" i="8" s="1"/>
  <c r="G23" i="8"/>
  <c r="AA3" i="8" s="1"/>
  <c r="F21" i="8"/>
  <c r="Z2" i="8" s="1"/>
  <c r="G17" i="8"/>
  <c r="V3" i="8" s="1"/>
  <c r="F15" i="8"/>
  <c r="U2" i="8" s="1"/>
  <c r="R9" i="8"/>
  <c r="R3" i="8"/>
  <c r="G12" i="8"/>
  <c r="Q9" i="8" s="1"/>
  <c r="G11" i="8"/>
  <c r="Q3" i="8" s="1"/>
  <c r="F9" i="8"/>
  <c r="P2" i="8" s="1"/>
  <c r="F2" i="8"/>
  <c r="K2" i="8" s="1"/>
  <c r="I13" i="8"/>
  <c r="N6" i="8"/>
  <c r="G4" i="8"/>
  <c r="L3" i="8" s="1"/>
  <c r="D8" i="8"/>
  <c r="M3" i="8"/>
  <c r="X11" i="8" l="1"/>
  <c r="X6" i="8"/>
  <c r="AH21" i="8"/>
  <c r="AH26" i="8"/>
  <c r="AH16" i="8"/>
  <c r="AH11" i="8"/>
  <c r="AH6" i="8"/>
  <c r="AC7" i="8"/>
  <c r="AC12" i="8"/>
  <c r="AF5" i="8"/>
  <c r="AF20" i="8"/>
  <c r="AF10" i="8"/>
  <c r="AF25" i="8"/>
  <c r="AF15" i="8"/>
  <c r="AC22" i="8"/>
  <c r="AA16" i="8"/>
  <c r="AA6" i="8"/>
  <c r="AA5" i="8"/>
  <c r="AA21" i="8"/>
  <c r="AA11" i="8"/>
  <c r="AC17" i="8"/>
  <c r="L5" i="8"/>
  <c r="L10" i="8"/>
  <c r="L15" i="8"/>
  <c r="I36" i="8"/>
  <c r="V5" i="8"/>
  <c r="V10" i="8"/>
  <c r="S13" i="8"/>
  <c r="S7" i="8"/>
  <c r="Q6" i="8"/>
  <c r="Q5" i="8"/>
  <c r="Q11" i="8"/>
  <c r="Q12" i="8"/>
  <c r="N11" i="8"/>
  <c r="N16" i="8"/>
</calcChain>
</file>

<file path=xl/sharedStrings.xml><?xml version="1.0" encoding="utf-8"?>
<sst xmlns="http://schemas.openxmlformats.org/spreadsheetml/2006/main" count="6487" uniqueCount="748">
  <si>
    <t>Objective</t>
  </si>
  <si>
    <t>Subobjective</t>
  </si>
  <si>
    <t>Measurement</t>
  </si>
  <si>
    <t>Attribute-value1</t>
  </si>
  <si>
    <t>Attribute-value2</t>
  </si>
  <si>
    <t>Attribute-value3</t>
  </si>
  <si>
    <t>Attribute-value4</t>
  </si>
  <si>
    <t>Attribute-value5</t>
  </si>
  <si>
    <t>Attribute-value6</t>
  </si>
  <si>
    <t>Attribute-value7</t>
  </si>
  <si>
    <t>Attribute-value8</t>
  </si>
  <si>
    <t>Attribute-value9</t>
  </si>
  <si>
    <t>Attribute-value10</t>
  </si>
  <si>
    <t>SameOrBetter Vertical-Spatial-Resolution Medium-200m-2km</t>
  </si>
  <si>
    <t>SameOrBetter Temporal-resolution Medium-1day-3days</t>
  </si>
  <si>
    <t>Accuracy High</t>
  </si>
  <si>
    <t>Coverage-of-region-of-interest Global</t>
  </si>
  <si>
    <t>rule</t>
  </si>
  <si>
    <t>nominal</t>
  </si>
  <si>
    <t>description</t>
  </si>
  <si>
    <t>value</t>
  </si>
  <si>
    <t>degraded-1</t>
  </si>
  <si>
    <t>degraded-2</t>
  </si>
  <si>
    <t>degraded-3</t>
  </si>
  <si>
    <t>degraded-4</t>
  </si>
  <si>
    <t>degraded-5</t>
  </si>
  <si>
    <t>"Conditions for full satisfaction "</t>
  </si>
  <si>
    <t>"1.4.1 atmospheric wind speed"</t>
  </si>
  <si>
    <t>Coverage-of-region-of-interest Most</t>
  </si>
  <si>
    <t>Coverage-of-region-of-interest Some</t>
  </si>
  <si>
    <t>"Only most of the region of interest is covered"</t>
  </si>
  <si>
    <t>"Only some of the region of interest is covered"</t>
  </si>
  <si>
    <t>"Insufficient accuracy"</t>
  </si>
  <si>
    <t>"Insufficient vertical spatial resolution"</t>
  </si>
  <si>
    <t>"Insufficient temporal resolution (1-3 days)"</t>
  </si>
  <si>
    <t>"Insufficient temporal resolution (over 1 week)"</t>
  </si>
  <si>
    <t>degraded-6</t>
  </si>
  <si>
    <t>degraded-7</t>
  </si>
  <si>
    <t>degraded-8</t>
  </si>
  <si>
    <t>Accuracy Medium</t>
  </si>
  <si>
    <t>SameOrBetter Temporal-resolution Low-3days-1-week</t>
  </si>
  <si>
    <t>SameOrBetter Vertical-Spatial-Resolution Low-2km-or-greater</t>
  </si>
  <si>
    <t>Text</t>
  </si>
  <si>
    <t>Atmospheric winds</t>
  </si>
  <si>
    <t>Atmospheric wind speed</t>
  </si>
  <si>
    <t>Atmospheric wind direction</t>
  </si>
  <si>
    <t>Ocean surface wind speed</t>
  </si>
  <si>
    <t>Ocean surface wind direction</t>
  </si>
  <si>
    <t>Water vapor transport winds</t>
  </si>
  <si>
    <t>subobjective weight</t>
  </si>
  <si>
    <t>High temporal resolution air pollution</t>
  </si>
  <si>
    <t>sensitivity-in-low-troposphere-PBL High</t>
  </si>
  <si>
    <t>Regional tropospheric ozone measurement</t>
  </si>
  <si>
    <t>All-weather temperature and humidity profiles</t>
  </si>
  <si>
    <t>Regional all-weather atmospheric temperature measurement</t>
  </si>
  <si>
    <t>All-weather yes</t>
  </si>
  <si>
    <t>Regional all-weather atmospheric humidity measurement</t>
  </si>
  <si>
    <t>Regional all-weather precipitation measurement</t>
  </si>
  <si>
    <t>Polarimetry yes</t>
  </si>
  <si>
    <t>Global aerosol shape and composition measurement</t>
  </si>
  <si>
    <t>Global aerosol height/optical depth</t>
  </si>
  <si>
    <t>Global aerosol scattering properties</t>
  </si>
  <si>
    <t>Global aerosol extinction profiles</t>
  </si>
  <si>
    <t>Global aerosol size distribution</t>
  </si>
  <si>
    <t>degraded-9</t>
  </si>
  <si>
    <t>Radio Occultation</t>
  </si>
  <si>
    <t>Radio occultation</t>
  </si>
  <si>
    <t>Aerosol-cloud discovery</t>
  </si>
  <si>
    <t>Cloud type</t>
  </si>
  <si>
    <t>Cloud amount and distribution</t>
  </si>
  <si>
    <t>Cloud height</t>
  </si>
  <si>
    <t>Cloud ice particles - size distribution</t>
  </si>
  <si>
    <t>Cloud particles - phase</t>
  </si>
  <si>
    <t>Cloud liquid water - precipitation</t>
  </si>
  <si>
    <t>Aerosol height</t>
  </si>
  <si>
    <t>Aerosol shape and composition</t>
  </si>
  <si>
    <t>Aerosol scattering properties</t>
  </si>
  <si>
    <t>Aerosol extinction profiles</t>
  </si>
  <si>
    <t>Aerosol size distribution</t>
  </si>
  <si>
    <t>Soil moisture and freeze-thaw state</t>
  </si>
  <si>
    <t>Surface water and ocean topography</t>
  </si>
  <si>
    <t>Snow and cold land processes</t>
  </si>
  <si>
    <t>Water vapor transport</t>
  </si>
  <si>
    <t>Sea Ice thickness, glacier surface elevation and glacier velocity</t>
  </si>
  <si>
    <t>Groundwater storage, ice sheet mass balance and ocean mass</t>
  </si>
  <si>
    <t>Inland and coastal water quality</t>
  </si>
  <si>
    <t>"2.3.1 Freeze/thaw state"</t>
  </si>
  <si>
    <t>Freeze/thaw state</t>
  </si>
  <si>
    <t>Penetration Medium-other-MW</t>
  </si>
  <si>
    <t>Penetration Low-optical</t>
  </si>
  <si>
    <t>"2.3.2 soil moisture"</t>
  </si>
  <si>
    <t>Soil Moisture</t>
  </si>
  <si>
    <t>River and lake elevation</t>
  </si>
  <si>
    <t>Sea level height</t>
  </si>
  <si>
    <t>Sea floor topography</t>
  </si>
  <si>
    <t>Snow water equivalent</t>
  </si>
  <si>
    <t>Snow depth</t>
  </si>
  <si>
    <t>Snow wetness</t>
  </si>
  <si>
    <t>Snow cover</t>
  </si>
  <si>
    <t>Water vapor imagery</t>
  </si>
  <si>
    <t>Sea ice thickness</t>
  </si>
  <si>
    <t>Sea ice cover</t>
  </si>
  <si>
    <t>Glacier surface elevation</t>
  </si>
  <si>
    <t>Ice sheet velocity</t>
  </si>
  <si>
    <t>Groundwater storage</t>
  </si>
  <si>
    <t>ContainsRegion Region-of-interest Global</t>
  </si>
  <si>
    <t>Glacier mass balance</t>
  </si>
  <si>
    <t>Ocean mass distribution</t>
  </si>
  <si>
    <t>Ocean color - VIS</t>
  </si>
  <si>
    <t>Ocean color - NIR</t>
  </si>
  <si>
    <t>Land use</t>
  </si>
  <si>
    <t>degraded-10</t>
  </si>
  <si>
    <t>Land cover status</t>
  </si>
  <si>
    <t>Ecosystem Function</t>
  </si>
  <si>
    <t>Ecosystem Structure and Biomass</t>
  </si>
  <si>
    <t>Carbon Budget</t>
  </si>
  <si>
    <t>Coastal Ecosystem Dynamics</t>
  </si>
  <si>
    <t>Global Ocean Productivity</t>
  </si>
  <si>
    <t>Vegetation state</t>
  </si>
  <si>
    <t>Disaster monitoring</t>
  </si>
  <si>
    <t>Landcover status</t>
  </si>
  <si>
    <t>Coral reef health extent</t>
  </si>
  <si>
    <t>Vegetation type and structure</t>
  </si>
  <si>
    <t>degraded-11</t>
  </si>
  <si>
    <t>ThreeD Some-3D-multi-angle</t>
  </si>
  <si>
    <t>Vegetation height</t>
  </si>
  <si>
    <t>Biomass through canopy density</t>
  </si>
  <si>
    <t>Atmospheric CO2</t>
  </si>
  <si>
    <t>Day-Night Day-and-night</t>
  </si>
  <si>
    <t>Atmospheric O2 for mixing ratios</t>
  </si>
  <si>
    <t>Atmospheric CO</t>
  </si>
  <si>
    <t>Standard Ocean color</t>
  </si>
  <si>
    <t>Extended ocean color - UV</t>
  </si>
  <si>
    <t>Extended ocean color - NIR</t>
  </si>
  <si>
    <t>River plumes - sediment fluxes</t>
  </si>
  <si>
    <t>Global standard ocean color</t>
  </si>
  <si>
    <t>Global extended ocean color - UV</t>
  </si>
  <si>
    <t>Global extended ocean color - NIR</t>
  </si>
  <si>
    <t>Surface deformation</t>
  </si>
  <si>
    <t>Surface deformation measurement</t>
  </si>
  <si>
    <t>Hydrocarbon reservoir monitoring</t>
  </si>
  <si>
    <t>Surface composition</t>
  </si>
  <si>
    <t>Surface composition measurement</t>
  </si>
  <si>
    <t>High resolution topography</t>
  </si>
  <si>
    <t>Flood monitoring</t>
  </si>
  <si>
    <t>Temporal variations in Earth gravity field</t>
  </si>
  <si>
    <t>Gravity field variations</t>
  </si>
  <si>
    <t>Oceanic bathymetry</t>
  </si>
  <si>
    <t>Ozone Processes: Ultraviolet Radiation and Cancer</t>
  </si>
  <si>
    <t>Global stratospheric water vapor</t>
  </si>
  <si>
    <t>Global stratospheric ozone</t>
  </si>
  <si>
    <t>sensitivity-in-upper-troposphere-and-stratosphere High</t>
  </si>
  <si>
    <t>Global stratospheric halogen compounds</t>
  </si>
  <si>
    <t>Global stratospheric HOX chemistry</t>
  </si>
  <si>
    <t>Global stratospheric CO2</t>
  </si>
  <si>
    <t>Global stratospheric CH4</t>
  </si>
  <si>
    <t>Global stratospheric CO</t>
  </si>
  <si>
    <t>Global stratospheric Nox chemistry</t>
  </si>
  <si>
    <t>Global stratospheric formaldehyde chemistry</t>
  </si>
  <si>
    <t>Spectrally resolved IR radiance</t>
  </si>
  <si>
    <t>Clouds: cloud top temperature</t>
  </si>
  <si>
    <t>Aerosols: aerosol size distribution</t>
  </si>
  <si>
    <t>Aerosols: aerosol optical depth</t>
  </si>
  <si>
    <t>Aerosols: aerosol shape and composition</t>
  </si>
  <si>
    <t>Aerosols: aerosol scattering properties</t>
  </si>
  <si>
    <t>Aerosols: aerosol extinction profiles</t>
  </si>
  <si>
    <t>Clouds: cloud type</t>
  </si>
  <si>
    <t>Clouds: cloud amount and distribution</t>
  </si>
  <si>
    <t>Clouds: cloud height and optical thickness</t>
  </si>
  <si>
    <t>Clouds: cloud ice particle size distribution</t>
  </si>
  <si>
    <t>Clouds: cloud particle phase - ice/water transition</t>
  </si>
  <si>
    <t>Heat Stress and Drought</t>
  </si>
  <si>
    <t>Rainfall measurement</t>
  </si>
  <si>
    <t>Soil moisture</t>
  </si>
  <si>
    <t>Land surface temperature</t>
  </si>
  <si>
    <t>Acute Toxic Pollution and Releases</t>
  </si>
  <si>
    <t>Visible atmospheric plumes</t>
  </si>
  <si>
    <t>Pollutant particle size</t>
  </si>
  <si>
    <t>Pollutant gross vertical structure</t>
  </si>
  <si>
    <t>Ocean color</t>
  </si>
  <si>
    <t>Air Pollution and Respiratory and Cardiovascular Diseases</t>
  </si>
  <si>
    <t>Global tropospheric aerosols: aerosol shape and composition</t>
  </si>
  <si>
    <t>Global tropospheric aerosols: aerosol size distribution</t>
  </si>
  <si>
    <t>Global tropospheric ozone</t>
  </si>
  <si>
    <t>Global tropospheric ozone precursors - CO</t>
  </si>
  <si>
    <t>Global tropospheric ozone precursors - NOX compounds</t>
  </si>
  <si>
    <t>Global tropospheric ozone precursors - formaldehyde</t>
  </si>
  <si>
    <t>Global tropospheric ozone precursors - SO2</t>
  </si>
  <si>
    <t>Global tropospheric ozone precursors - CH4</t>
  </si>
  <si>
    <t>Global tropospheric black carbon and other aerosols</t>
  </si>
  <si>
    <t>Regional tropospheric aerosols: aerosol shape and composition</t>
  </si>
  <si>
    <t>Regional tropospheric aerosols: aerosol size distribution</t>
  </si>
  <si>
    <t>Regional tropospheric ozone</t>
  </si>
  <si>
    <t>Regional tropospheric ozone precursors - CO</t>
  </si>
  <si>
    <t>Regional tropospheric ozone precursors - NOX compounds</t>
  </si>
  <si>
    <t>Regional tropospheric ozone precursors - formaldehyde</t>
  </si>
  <si>
    <t>Regional tropospheric ozone precursors - SO2</t>
  </si>
  <si>
    <t>Regional tropospheric ozone precursors - CH4</t>
  </si>
  <si>
    <t>Regional tropospheric black carbon and other aerosols</t>
  </si>
  <si>
    <t>Algal Blooms and Waterborne Infectious Diseases</t>
  </si>
  <si>
    <t>Algal blooms - VIS ocean color</t>
  </si>
  <si>
    <t>Algal blooms - NIR ocean color</t>
  </si>
  <si>
    <t>Ocean surface temperature</t>
  </si>
  <si>
    <t>Vector-borne and Zoonotic Disease</t>
  </si>
  <si>
    <t>Meteorological conditions - Land surface temperature</t>
  </si>
  <si>
    <t>Meteorological conditions - Atmospheric wind speed</t>
  </si>
  <si>
    <t>Soil and vegetation - Soil moisture</t>
  </si>
  <si>
    <t>Soil and vegetation - Vegetation state</t>
  </si>
  <si>
    <t>Soil and vegetation - Landcover status</t>
  </si>
  <si>
    <t>Changes in groundwater storage</t>
  </si>
  <si>
    <t>Changes in glacier mass balance</t>
  </si>
  <si>
    <t>Changes in ocean mass distribution</t>
  </si>
  <si>
    <t>Aerosol-Cloud Forcing</t>
  </si>
  <si>
    <t>Cloud droplet size</t>
  </si>
  <si>
    <t>Ice Sheet, Sea Ice Volume and Ice Dynamics</t>
  </si>
  <si>
    <t>Ice sheet volume</t>
  </si>
  <si>
    <t>Ice Sheet topography</t>
  </si>
  <si>
    <t>Carbon Sources and Sinks</t>
  </si>
  <si>
    <t>Land carbon: canopy density</t>
  </si>
  <si>
    <t>Land carbon: vegetation height</t>
  </si>
  <si>
    <t>Land carbon: vegetation type and structure</t>
  </si>
  <si>
    <t>Ocean carbon: VIS ocean color</t>
  </si>
  <si>
    <t>Ocean carbon: UV ocean color</t>
  </si>
  <si>
    <t>Ocean carbon: NIR ocean color</t>
  </si>
  <si>
    <t>Radiance Calibration and Time-Reference Observatory</t>
  </si>
  <si>
    <t>Earth radiation budget measurement: Spectrally resolved solar irradiance</t>
  </si>
  <si>
    <t>Earth radiation budget measurement: Spectrally resolved Earth IR (LW) radiance</t>
  </si>
  <si>
    <t>Earth radiation budget measurement: Spectrally resolved reflected solar radiance</t>
  </si>
  <si>
    <t>GNSS Radio occultation measurement</t>
  </si>
  <si>
    <t>Atmospheric temperature</t>
  </si>
  <si>
    <t>Water vapor profiles</t>
  </si>
  <si>
    <t>Ocean Circulation, Heat Storage, and Climate Forcing</t>
  </si>
  <si>
    <t>Altimetry measurement: Sea level height</t>
  </si>
  <si>
    <t>Geoid and gravity field variations</t>
  </si>
  <si>
    <t xml:space="preserve">Ocean surface wind speed measurement for ocean circulation </t>
  </si>
  <si>
    <t>Id</t>
  </si>
  <si>
    <t>Description</t>
  </si>
  <si>
    <t>Weight</t>
  </si>
  <si>
    <t>Objective 1</t>
  </si>
  <si>
    <t>Objective 2</t>
  </si>
  <si>
    <t>Objective 3</t>
  </si>
  <si>
    <t>Objective 4</t>
  </si>
  <si>
    <t>Objective 5</t>
  </si>
  <si>
    <t>Objective 6</t>
  </si>
  <si>
    <t>Objective 7</t>
  </si>
  <si>
    <t>Panel</t>
  </si>
  <si>
    <t>Weather</t>
  </si>
  <si>
    <t>Climate</t>
  </si>
  <si>
    <t>Land</t>
  </si>
  <si>
    <t>Water</t>
  </si>
  <si>
    <t>Human health</t>
  </si>
  <si>
    <t>Health</t>
  </si>
  <si>
    <t>Solid Earth</t>
  </si>
  <si>
    <t>ECO</t>
  </si>
  <si>
    <t>SE</t>
  </si>
  <si>
    <t>Land and Ecosystems</t>
  </si>
  <si>
    <t>Regional troposphericozone precursors - NOx and other N compounds</t>
  </si>
  <si>
    <t>Regional tropospheric ozone precursors - Formaldehyde and non-CH4 VOC</t>
  </si>
  <si>
    <t>Regional tropospheric aerosols - SO2</t>
  </si>
  <si>
    <t>Regional tropospheric aerosols - black carbon and other polluting aerosols</t>
  </si>
  <si>
    <t>Regional all-weather sea surface temperature measurement</t>
  </si>
  <si>
    <t>Tropospheric ozone</t>
  </si>
  <si>
    <t>Global tropospheric O3 precursors: CH4</t>
  </si>
  <si>
    <t>Global tropospheric O3 measurements:  non-CH4 VOC</t>
  </si>
  <si>
    <t>Global tropospheric O3 precursors: N2 compounds</t>
  </si>
  <si>
    <t>Global tropospheric O3 precursors: CO</t>
  </si>
  <si>
    <t>Global tropospheric aerosols: SO2</t>
  </si>
  <si>
    <t>Global tropospheric aerosols: black carbon and other polluting aerosols</t>
  </si>
  <si>
    <t>Comprehensive global tropospheric O3 measurements</t>
  </si>
  <si>
    <t>Comprehensive global tropospheric aerosol characterization</t>
  </si>
  <si>
    <t>River plumes/sediment fluxes</t>
  </si>
  <si>
    <t>Parameters requiring data continuity</t>
  </si>
  <si>
    <t>Importance</t>
  </si>
  <si>
    <t>Accepted values for importance</t>
  </si>
  <si>
    <t>Essential</t>
  </si>
  <si>
    <t>Important</t>
  </si>
  <si>
    <t>Nice to have</t>
  </si>
  <si>
    <t>None</t>
  </si>
  <si>
    <t>1.1.1 aerosol height/optical depth</t>
  </si>
  <si>
    <t>1.1.2 aerosol shape, composition, physical and chemical properties</t>
  </si>
  <si>
    <t>1.1.3 aerosol scattering properties</t>
  </si>
  <si>
    <t>1.1.4 aerosol extinction profiles/vertical concentration</t>
  </si>
  <si>
    <t>1.1.5 aerosol size and size distribution</t>
  </si>
  <si>
    <t>1.2.1 Atmospheric temperature fields</t>
  </si>
  <si>
    <t>1.3.1 Atmospheric humidity (indirect)</t>
  </si>
  <si>
    <t>1.3.2 Water vapor transport - Winds</t>
  </si>
  <si>
    <t>1.3.3 GPS radio occultation</t>
  </si>
  <si>
    <t>1.4.1 atmospheric wind speed</t>
  </si>
  <si>
    <t>1.4.2 atmospheric wind direction</t>
  </si>
  <si>
    <t>1.5.1 Cloud top temperature</t>
  </si>
  <si>
    <t>1.5.2 Cloud type</t>
  </si>
  <si>
    <t>1.5.3 Cloud amount/distribution (horizontal and vertical)</t>
  </si>
  <si>
    <t>1.6.1 cloud height/optical thickness</t>
  </si>
  <si>
    <t>1.6.2 cloud ice particle size distribution</t>
  </si>
  <si>
    <t>1.6.3 Cloud particle phase - ice/water transition</t>
  </si>
  <si>
    <t>1.7.1 Cloud liquid water and precipitation rate</t>
  </si>
  <si>
    <t>1.7.2 Cloud droplet size</t>
  </si>
  <si>
    <t>1.8.1 H2O</t>
  </si>
  <si>
    <t>1.8.2 O3</t>
  </si>
  <si>
    <t>1.8.3 CO2</t>
  </si>
  <si>
    <t>1.8.4 CH4</t>
  </si>
  <si>
    <t>1.8.5 CO</t>
  </si>
  <si>
    <t>1.8.6 O2</t>
  </si>
  <si>
    <t>1.8.7 NOx(NO, NO2), N2O5, HNO3</t>
  </si>
  <si>
    <t>1.8.8 CH2O and non-CH4 VOC</t>
  </si>
  <si>
    <t>1.8.9 CFCs/HFCs</t>
  </si>
  <si>
    <t>1.8.10 H2O2, OH, HO2 and isotopes (HDO, H218O)</t>
  </si>
  <si>
    <t>1.8.11 SO2</t>
  </si>
  <si>
    <t>1.8.12 Vulcanic SO2, OCS and other vulcanic aerosols</t>
  </si>
  <si>
    <t>1.8.13 Black carbon and other polluting aerosols</t>
  </si>
  <si>
    <t>1.8.14 ClO, BrO, halogen compounds</t>
  </si>
  <si>
    <t>1.8.15 Upper-troposphere/stratosphere - Polar Stratospheric Clouds</t>
  </si>
  <si>
    <t>1.8.16 Visible atmospheric plumes</t>
  </si>
  <si>
    <t>1.9.1 Spectrally resolved solar irradiance</t>
  </si>
  <si>
    <t>1.9.2 Spectrally resolved IR radiance (200-2000cm-1)</t>
  </si>
  <si>
    <t>1.9.3 Spectrally resolved SW radiance (0.3-2um)</t>
  </si>
  <si>
    <t>2.1.1 Albedo and reflectance</t>
  </si>
  <si>
    <t>2.2.1 surface deformation</t>
  </si>
  <si>
    <t>2.2.2 Hi-res topography</t>
  </si>
  <si>
    <t>2.3.1 Freeze/thaw state</t>
  </si>
  <si>
    <t>2.3.2 soil moisture</t>
  </si>
  <si>
    <t>2.4.1 vegetation type and structure</t>
  </si>
  <si>
    <t>2.4.2 vegetation state</t>
  </si>
  <si>
    <t>2.4.3 vegetation height</t>
  </si>
  <si>
    <t>2.4.4 canopy density</t>
  </si>
  <si>
    <t>2.5.1 Surface temperature (land)</t>
  </si>
  <si>
    <t>2.6.1 land use</t>
  </si>
  <si>
    <t>2.6.2 landcover status</t>
  </si>
  <si>
    <t>2.6.3 disaster monitoring</t>
  </si>
  <si>
    <t>2.6.4 hydrocarbon reservoir monitoring</t>
  </si>
  <si>
    <t>2.6.5 surface composition</t>
  </si>
  <si>
    <t>2.7.1 river and lake elevation</t>
  </si>
  <si>
    <t>2.7.2 flood monitoring</t>
  </si>
  <si>
    <t>2.7.3 groundwater storage</t>
  </si>
  <si>
    <t>3.1.1 Ocean color - 410-680nm (Chlorophyll absorption and fluorescence, pigments, phytoplankton, CDOM)</t>
  </si>
  <si>
    <t>3.1.2 Extended ocean color - UV (enhanced DOC, CDOM)</t>
  </si>
  <si>
    <t>3.1.3 Extended ocean color - NIR (atmospheric correction)</t>
  </si>
  <si>
    <t>3.2.1 Sea level height</t>
  </si>
  <si>
    <t>3.2.2 seafloor topography</t>
  </si>
  <si>
    <t>3.2.4 thermal plumes</t>
  </si>
  <si>
    <t>3.2.5 river plumes/sediment fluxes</t>
  </si>
  <si>
    <t>3.2.6 Ocean mass distribution</t>
  </si>
  <si>
    <t>3.3.1 Ocean salinity</t>
  </si>
  <si>
    <t>3.4.1 Ocean surface wind speed</t>
  </si>
  <si>
    <t>3.4.2 Ocean surface wind direction</t>
  </si>
  <si>
    <t>3.5.1 Surface temperature (ocean)</t>
  </si>
  <si>
    <t>3.6.1 Ocean wave height and spectrum</t>
  </si>
  <si>
    <t>3.7.2 coral reef health/extent</t>
  </si>
  <si>
    <t>4.1.1 ice sheet volume</t>
  </si>
  <si>
    <t>4.1.2 Glacier surface elevation</t>
  </si>
  <si>
    <t>4.1.3 glacier mass balance</t>
  </si>
  <si>
    <t>4.1.4 Ice sheet velocity</t>
  </si>
  <si>
    <t>4.1.5 Ice Sheet topography</t>
  </si>
  <si>
    <t>4.2.1 snow-water equivalence</t>
  </si>
  <si>
    <t>4.2.2 snow depth</t>
  </si>
  <si>
    <t>4.2.3 snow wetness</t>
  </si>
  <si>
    <t>4.2.4 snow cover</t>
  </si>
  <si>
    <t>4.3.1 Sea ice thickness</t>
  </si>
  <si>
    <t>4.3.2 Sea ice cover</t>
  </si>
  <si>
    <t>5.1.1 Geoid and gravity field variations</t>
  </si>
  <si>
    <t>5.1.2 magnetic field variations</t>
  </si>
  <si>
    <t>5.1.3 Space weather (solar X-ray/EUV, energetic particles, ionosphere)</t>
  </si>
  <si>
    <t>Attribute pair2</t>
  </si>
  <si>
    <t>Attribute pair3</t>
  </si>
  <si>
    <t>Attribute pair4</t>
  </si>
  <si>
    <t>Attribute pair5</t>
  </si>
  <si>
    <t>Attribute pair6</t>
  </si>
  <si>
    <t>Attribute pair7</t>
  </si>
  <si>
    <t>Attribute pair 8</t>
  </si>
  <si>
    <t>Continuity required</t>
  </si>
  <si>
    <t>Accepted values for continuity</t>
  </si>
  <si>
    <t>continuous</t>
  </si>
  <si>
    <t>seasonal</t>
  </si>
  <si>
    <t>campaign-per-year</t>
  </si>
  <si>
    <t>1.3.4 Atmospheric pressure</t>
  </si>
  <si>
    <t>1.8.17 SF6</t>
  </si>
  <si>
    <t>A1. Coastal ocean color</t>
  </si>
  <si>
    <t>A2. Fire Monitoring</t>
  </si>
  <si>
    <t>A3. Lightning Detection</t>
  </si>
  <si>
    <t>Weight (importance)</t>
  </si>
  <si>
    <t>1st LEVEL OF STAKEHOLDER NEEDS DECOMPOSITION (PANELS)</t>
  </si>
  <si>
    <t>2nd LEVEL OF STAKEHOLDER NEEDS DECOMPOSITION (OBJECTIVES)</t>
  </si>
  <si>
    <t>3rd LEVEL OF STAKEHOLDER NEEDS DECOMPOSITION (SUBOBJECTIVES)</t>
  </si>
  <si>
    <t>RUTH S. DeFRIES</t>
  </si>
  <si>
    <t xml:space="preserve"> University of Maryland</t>
  </si>
  <si>
    <t>OTIS B. BROWN</t>
  </si>
  <si>
    <t xml:space="preserve"> University of Miami</t>
  </si>
  <si>
    <t>MARK R. ABBOTT</t>
  </si>
  <si>
    <t xml:space="preserve"> Oregon State University</t>
  </si>
  <si>
    <t>CHRISTOPHER B. FIELD</t>
  </si>
  <si>
    <t xml:space="preserve"> Carnegie Institution of Washington</t>
  </si>
  <si>
    <t>INEZ Y. FUNG</t>
  </si>
  <si>
    <t>MARC LEVY</t>
  </si>
  <si>
    <t xml:space="preserve"> Center for International Earth Sciences Information Network</t>
  </si>
  <si>
    <t>JAMES J. McCARTHY</t>
  </si>
  <si>
    <t xml:space="preserve"> Harvard University</t>
  </si>
  <si>
    <t>JERRY M. MELILLO</t>
  </si>
  <si>
    <t xml:space="preserve"> Marine Biological Laboratory</t>
  </si>
  <si>
    <t>DAVID S. SCHIMEL</t>
  </si>
  <si>
    <t xml:space="preserve"> University Corporation for Atmospheric Research</t>
  </si>
  <si>
    <t>SUSAN K. AVERY</t>
  </si>
  <si>
    <t>THOMAS H. VONDER HAAR</t>
  </si>
  <si>
    <t xml:space="preserve"> Colorado State University</t>
  </si>
  <si>
    <t>EDWARD V. BROWELL</t>
  </si>
  <si>
    <t xml:space="preserve"> NASA Langley Research Center</t>
  </si>
  <si>
    <t>WILLIAM B. CADE III</t>
  </si>
  <si>
    <t xml:space="preserve"> Air Force Weather Agency</t>
  </si>
  <si>
    <t>BRADLEY R. COLMAN</t>
  </si>
  <si>
    <t xml:space="preserve"> National Weather Service</t>
  </si>
  <si>
    <t>EUGENIA KALNAY</t>
  </si>
  <si>
    <t>CHRISTOPHER RUF</t>
  </si>
  <si>
    <t xml:space="preserve"> University of Michigan</t>
  </si>
  <si>
    <t>CARL F. SCHUELER</t>
  </si>
  <si>
    <t xml:space="preserve"> Raytheon Company</t>
  </si>
  <si>
    <t>JEREMY USHER</t>
  </si>
  <si>
    <t xml:space="preserve"> Weathernews Americas</t>
  </si>
  <si>
    <t>CHRISTOPHER S. VELDEN</t>
  </si>
  <si>
    <t xml:space="preserve"> University of Wisconsin-Madison</t>
  </si>
  <si>
    <t>ROBERT A. WELLER</t>
  </si>
  <si>
    <t xml:space="preserve"> Woods Hole Oceanographic Institution</t>
  </si>
  <si>
    <t>ERIC J. BARRON</t>
  </si>
  <si>
    <t>JOYCE E. PENNER</t>
  </si>
  <si>
    <t>GREGORY CARBONE</t>
  </si>
  <si>
    <t xml:space="preserve"> University of South Carolina</t>
  </si>
  <si>
    <t>JAMES A. COAKLEY</t>
  </si>
  <si>
    <t>SARAH T. GILLE</t>
  </si>
  <si>
    <t xml:space="preserve"> Scripps Institution of Oceanography</t>
  </si>
  <si>
    <t>KENNETH C. JEZEK</t>
  </si>
  <si>
    <t xml:space="preserve"> Ohio State University</t>
  </si>
  <si>
    <t>JUDITH L. LEAN</t>
  </si>
  <si>
    <t xml:space="preserve"> Naval Research Laboratory</t>
  </si>
  <si>
    <t>GUDRUN MAGNUSDOTTIR</t>
  </si>
  <si>
    <t>PAOLA MALANOTTE-RIZZOLI</t>
  </si>
  <si>
    <t xml:space="preserve"> Massachusetts Institute of Technology</t>
  </si>
  <si>
    <t>MICHAEL OPPENHEIMER</t>
  </si>
  <si>
    <t xml:space="preserve"> Princeton University</t>
  </si>
  <si>
    <t>CLAIRE L. PARKINSON</t>
  </si>
  <si>
    <t xml:space="preserve"> NASA Goddard Space Flight Center</t>
  </si>
  <si>
    <t>MICHAEL J. PRATHER</t>
  </si>
  <si>
    <t>MARK R. SCHOEBERL</t>
  </si>
  <si>
    <t>BYRON D. TAPLEY</t>
  </si>
  <si>
    <t>DENNIS P. LETTENMAIER</t>
  </si>
  <si>
    <t xml:space="preserve"> University of Washington</t>
  </si>
  <si>
    <t>ANNE W. NOLIN</t>
  </si>
  <si>
    <t>WILFRIED H. BRUTSAERT</t>
  </si>
  <si>
    <t xml:space="preserve"> Cornell University</t>
  </si>
  <si>
    <t>ANNY CAZENAVE</t>
  </si>
  <si>
    <t xml:space="preserve"> Centre National d’Etudes Spatiales</t>
  </si>
  <si>
    <t>CAROL ANNE CLAYSON</t>
  </si>
  <si>
    <t xml:space="preserve"> Florida State University</t>
  </si>
  <si>
    <t>JEFF DOZIER</t>
  </si>
  <si>
    <t>DARA ENTEKHABI</t>
  </si>
  <si>
    <t>RICHARD FORSTER</t>
  </si>
  <si>
    <t xml:space="preserve"> University of Utah</t>
  </si>
  <si>
    <t>CHARLES D.D. HOWARD</t>
  </si>
  <si>
    <t xml:space="preserve"> Independent Consultant</t>
  </si>
  <si>
    <t>CHRISTIAN D. KUMMEROW</t>
  </si>
  <si>
    <t>STEVEN W. RUNNING</t>
  </si>
  <si>
    <t xml:space="preserve"> University of Montana</t>
  </si>
  <si>
    <t>CHARLES J. VOROSMARTY</t>
  </si>
  <si>
    <t xml:space="preserve"> University of New Hampshire</t>
  </si>
  <si>
    <t>MARK L. WILSON</t>
  </si>
  <si>
    <t>RITA R. COLWELL</t>
  </si>
  <si>
    <t>DANIEL G. BROWN</t>
  </si>
  <si>
    <t>WALTER F. DABBERDT</t>
  </si>
  <si>
    <t xml:space="preserve"> Vaisala</t>
  </si>
  <si>
    <t>WILLIAM F. DAVENHALL</t>
  </si>
  <si>
    <t xml:space="preserve"> ESRI</t>
  </si>
  <si>
    <t>JOHN R. DELANEY</t>
  </si>
  <si>
    <t>GREGORY GLASS</t>
  </si>
  <si>
    <t xml:space="preserve"> Johns Hopkins University Bloomberg School of Public Health</t>
  </si>
  <si>
    <t>DANIEL J. JACOB</t>
  </si>
  <si>
    <t>JAMES H. MAGUIRE</t>
  </si>
  <si>
    <t xml:space="preserve"> University of Maryland School of Medicine</t>
  </si>
  <si>
    <t>PAUL M. MAUGHAN</t>
  </si>
  <si>
    <t xml:space="preserve"> MyoSite Diagnostics</t>
  </si>
  <si>
    <t>JOAN B. ROSE</t>
  </si>
  <si>
    <t xml:space="preserve"> Michigan State University</t>
  </si>
  <si>
    <t>RONALD B. SMITH</t>
  </si>
  <si>
    <t xml:space="preserve"> Yale University</t>
  </si>
  <si>
    <t>PATRICIA ANN TESTER</t>
  </si>
  <si>
    <t xml:space="preserve"> National Oceanic and Atmospheric Administration</t>
  </si>
  <si>
    <t>BRADFORD H. HAGER</t>
  </si>
  <si>
    <t>SUSAN L. BRANTLEY</t>
  </si>
  <si>
    <t xml:space="preserve"> Pennsylvania State University</t>
  </si>
  <si>
    <t>JEREMY BLOXHAM</t>
  </si>
  <si>
    <t>RICHARD K. EISNER</t>
  </si>
  <si>
    <t xml:space="preserve"> State of California</t>
  </si>
  <si>
    <t>ALEXANDER F.H. GOETZ</t>
  </si>
  <si>
    <t>CHRISTIAN J. JOHANNSEN</t>
  </si>
  <si>
    <t xml:space="preserve"> Purdue University</t>
  </si>
  <si>
    <t>JAMES W. KIRCHNER</t>
  </si>
  <si>
    <t>WILLIAM I. ROSE</t>
  </si>
  <si>
    <t xml:space="preserve"> Michigan Technological University</t>
  </si>
  <si>
    <t>HARESH C. SHAH</t>
  </si>
  <si>
    <t xml:space="preserve"> Stanford University</t>
  </si>
  <si>
    <t>DIRK SMIT</t>
  </si>
  <si>
    <t xml:space="preserve"> Shell Exploration and Production Technology Company</t>
  </si>
  <si>
    <t>HOWARD A. ZEBKER</t>
  </si>
  <si>
    <t>MARIA T. ZUBER</t>
  </si>
  <si>
    <t xml:space="preserve"> University of Colorado Boulder</t>
  </si>
  <si>
    <t xml:space="preserve"> University of California Berkeley</t>
  </si>
  <si>
    <t xml:space="preserve"> University of California santa Barbara</t>
  </si>
  <si>
    <t xml:space="preserve"> University of Texas Uastin</t>
  </si>
  <si>
    <t xml:space="preserve"> University of California Irvine</t>
  </si>
  <si>
    <t xml:space="preserve"> University of Texas Austin</t>
  </si>
  <si>
    <t>ANTHONY C. JANETOS</t>
  </si>
  <si>
    <t>University of Maryland</t>
  </si>
  <si>
    <t>ROBERTA BALSTAD</t>
  </si>
  <si>
    <t xml:space="preserve"> Columbia University</t>
  </si>
  <si>
    <t>JAY APT</t>
  </si>
  <si>
    <t xml:space="preserve"> Carnegie Mellon University</t>
  </si>
  <si>
    <t>PHILIP E. ARDANUY</t>
  </si>
  <si>
    <t xml:space="preserve"> Raytheon Information Solutions</t>
  </si>
  <si>
    <t>RANDALL FRIEDL</t>
  </si>
  <si>
    <t xml:space="preserve"> Jet Propulsion Laboratory</t>
  </si>
  <si>
    <t>MICHAEL F. GOODCHILD</t>
  </si>
  <si>
    <t>MOLLY K. MACAULEY</t>
  </si>
  <si>
    <t xml:space="preserve"> Resources for the Future</t>
  </si>
  <si>
    <t>GORDON McBEAN</t>
  </si>
  <si>
    <t xml:space="preserve"> University of Western Ontario</t>
  </si>
  <si>
    <t>DAVID L. SKOLE</t>
  </si>
  <si>
    <t>LEIGH WELLING</t>
  </si>
  <si>
    <t xml:space="preserve"> Crown of the Continent Learning Center</t>
  </si>
  <si>
    <t>THOMAS J. WILBANKS</t>
  </si>
  <si>
    <t xml:space="preserve"> Oak Ridge National Laboratory</t>
  </si>
  <si>
    <t>GARY W. YOHE</t>
  </si>
  <si>
    <t xml:space="preserve"> Wesleyan University</t>
  </si>
  <si>
    <t>Applications</t>
  </si>
  <si>
    <t>Scientist</t>
  </si>
  <si>
    <t>Institution</t>
  </si>
  <si>
    <t>Email</t>
  </si>
  <si>
    <t>Interviewed</t>
  </si>
  <si>
    <t>Email sent</t>
  </si>
  <si>
    <t>yes</t>
  </si>
  <si>
    <t>La</t>
  </si>
  <si>
    <t>We</t>
  </si>
  <si>
    <t>Cl</t>
  </si>
  <si>
    <t>Wa</t>
  </si>
  <si>
    <t>Hu</t>
  </si>
  <si>
    <t>App</t>
  </si>
  <si>
    <t>MIT</t>
  </si>
  <si>
    <t>Harvard</t>
  </si>
  <si>
    <t>MIT+HARVARD+UNH+WOOD</t>
  </si>
  <si>
    <t>+U Maryland+GSFC</t>
  </si>
  <si>
    <t>A4. Clouds and radiation</t>
  </si>
  <si>
    <t>A5. Leaf area index</t>
  </si>
  <si>
    <t>A6. FaPAR</t>
  </si>
  <si>
    <t>A7. TOA bidirectional reflectance</t>
  </si>
  <si>
    <t>WEA</t>
  </si>
  <si>
    <t>CLI</t>
  </si>
  <si>
    <t>WAT</t>
  </si>
  <si>
    <t>HEA</t>
  </si>
  <si>
    <t>SOL</t>
  </si>
  <si>
    <t>WAT1</t>
  </si>
  <si>
    <t>WAT1-1</t>
  </si>
  <si>
    <t>HEA2</t>
  </si>
  <si>
    <t>SameOrBetter Temporal-resolution High-12h-24h</t>
  </si>
  <si>
    <t>Fire detection and monitoring</t>
  </si>
  <si>
    <t>Name</t>
  </si>
  <si>
    <t>Concept "clouds and precipitation"</t>
  </si>
  <si>
    <t>Illumination Active</t>
  </si>
  <si>
    <t>Intent "Cloud profile and rain radars"</t>
  </si>
  <si>
    <t>sensitivity-in-low-troposphere-PBL nil</t>
  </si>
  <si>
    <t>sensitivity-in-upper-troposphere-and-stratosphere nil</t>
  </si>
  <si>
    <t>ThreeD No-3D</t>
  </si>
  <si>
    <t>ACE_CPR</t>
  </si>
  <si>
    <t>ACE_ORCA</t>
  </si>
  <si>
    <t>All-weather no</t>
  </si>
  <si>
    <t>Concept "ocean color"</t>
  </si>
  <si>
    <t>Day-Night Only-day</t>
  </si>
  <si>
    <t>Illumination Passive</t>
  </si>
  <si>
    <t>Intent "Imaging multi-spectral radiometers -passive optical-"</t>
  </si>
  <si>
    <t>Polarimetry no</t>
  </si>
  <si>
    <t>ACE_POL</t>
  </si>
  <si>
    <t>Concept "shape and size of aerosols"</t>
  </si>
  <si>
    <t>ACE_LID</t>
  </si>
  <si>
    <t>Concept "aerosols and cloud properties"</t>
  </si>
  <si>
    <t>Intent "Laser altimeters"</t>
  </si>
  <si>
    <t>ASC_LID</t>
  </si>
  <si>
    <t>Concept "CO2"</t>
  </si>
  <si>
    <t>ASC_GCR</t>
  </si>
  <si>
    <t>Concept "CO"</t>
  </si>
  <si>
    <t>Intent "Gas filter correlation radiometer"</t>
  </si>
  <si>
    <t>ASC_IRR</t>
  </si>
  <si>
    <t>Concept "Atmospheric correction"</t>
  </si>
  <si>
    <t>Intent "IR Atmospheric temperature and humidity sounders"</t>
  </si>
  <si>
    <t>Instrument</t>
  </si>
  <si>
    <t>All-weather</t>
  </si>
  <si>
    <t>Concept</t>
  </si>
  <si>
    <t>Day and Night capability</t>
  </si>
  <si>
    <t>Illumination source</t>
  </si>
  <si>
    <t>Intent</t>
  </si>
  <si>
    <t>Soil penetration</t>
  </si>
  <si>
    <t>Attribute-value11</t>
  </si>
  <si>
    <t>degraded-12</t>
  </si>
  <si>
    <t>degraded-13</t>
  </si>
  <si>
    <t>Accuracy# ?ac &amp;:(&lt;= ?ac 0.04)</t>
  </si>
  <si>
    <t>Accuracy# ?ac &amp;:(&lt;= ?ac 0.11)</t>
  </si>
  <si>
    <t>Temporal-resolution# ?tr &amp;:(&lt;= ?tr 72)</t>
  </si>
  <si>
    <t>Temporal-resolution# ?tr &amp;:(&lt;= ?tr 168)</t>
  </si>
  <si>
    <t>Horizontal-Spatial-Resolution# ?hsr &amp;:(&lt;= ?hsr 30000)</t>
  </si>
  <si>
    <t>"Insufficient temporal resolution (3-7 days achieved, 2-3 days req'd)"</t>
  </si>
  <si>
    <t>"Insufficient penetration (L-band required)"</t>
  </si>
  <si>
    <t>Swath# ?sw &amp;:(&gt;= ?sw 1000)</t>
  </si>
  <si>
    <t>Swath# ?sw &amp;:(&gt;= ?sw 650)</t>
  </si>
  <si>
    <t>"Insufficient swath (650-1000km achieved, &gt;1000km required)"</t>
  </si>
  <si>
    <t>orbit-inclination SSO</t>
  </si>
  <si>
    <t>"Suboptimal illumination conditions (not SSO)"</t>
  </si>
  <si>
    <t>orbit-inclination ?orb&amp;~SSO</t>
  </si>
  <si>
    <t>Attribute-value12</t>
  </si>
  <si>
    <t>Volcanos and landslides - SAR</t>
  </si>
  <si>
    <t>Volcanos and landslides - hyperspectral</t>
  </si>
  <si>
    <t>degraded-14</t>
  </si>
  <si>
    <t>"AM/PM SSO (DD required) - degraded quality"</t>
  </si>
  <si>
    <t>orbit-RAAN DD</t>
  </si>
  <si>
    <t>orbit-RAAN ?raan&amp;~DD</t>
  </si>
  <si>
    <t>image-distortion# ?dis&amp;:(&gt; ?dis 0.8)</t>
  </si>
  <si>
    <t>"Too large image distortion"</t>
  </si>
  <si>
    <t>image-distortion# ?dis&amp;:(&lt;= ?dis 0.8)</t>
  </si>
  <si>
    <t>sensitivity# ?sens&amp;:(&gt;= ?sens 1.5)</t>
  </si>
  <si>
    <t>"Insufficient sensitivity to soil moisture in vegetation (L-band required)"</t>
  </si>
  <si>
    <t>"Missing all-weather capability."</t>
  </si>
  <si>
    <t>Attribute-value13</t>
  </si>
  <si>
    <t>Attribute-value14</t>
  </si>
  <si>
    <t>Ecosystems</t>
  </si>
  <si>
    <t>Spread of infectious diseases</t>
  </si>
  <si>
    <t>Agriculture productivity</t>
  </si>
  <si>
    <t>Initialization of NWP models</t>
  </si>
  <si>
    <t>Boundary conditions for climate models</t>
  </si>
  <si>
    <t>River forecast streamflow models</t>
  </si>
  <si>
    <t>River forecast flash flood models</t>
  </si>
  <si>
    <t>Net carbon flux in boreal landscapes</t>
  </si>
  <si>
    <t>Ocean thermohaline circulation</t>
  </si>
  <si>
    <t>Estimation of precipitation</t>
  </si>
  <si>
    <t>Sea Ice cover</t>
  </si>
  <si>
    <t>Wild fires prediction</t>
  </si>
  <si>
    <t>Ocean salinity</t>
  </si>
  <si>
    <t>Freeze-thaw</t>
  </si>
  <si>
    <t>Carbon net ecosystem exchange</t>
  </si>
  <si>
    <t>Freeze-thaw state</t>
  </si>
  <si>
    <t>WEA1-1</t>
  </si>
  <si>
    <t>WEA1</t>
  </si>
  <si>
    <t>soil-penetration# ?pen&amp;:(&gt; ?pen 0.1)</t>
  </si>
  <si>
    <t>soil-penetration# ?pen&amp;:(&gt; ?pen 0.5)</t>
  </si>
  <si>
    <t>sensitivity# ?sens&amp;:(&gt;= ?sens 3.0)</t>
  </si>
  <si>
    <t>"Insufficient accuracy (4-10% achieved, 4% required)"</t>
  </si>
  <si>
    <t>Horizontal-Spatial-Resolution# ?hsr &amp;:(&lt;= ?hsr 4200)</t>
  </si>
  <si>
    <t>degraded-15</t>
  </si>
  <si>
    <t>"Insufficient HSR to meet future NWP grid size (&lt;12km achieved, &lt;4km required)"</t>
  </si>
  <si>
    <t>"Insufficient HSR to meet current NWP grid size (&lt;30km achieved, &lt;12km required)"</t>
  </si>
  <si>
    <t>Horizontal-Spatial-Resolution# ?hsr &amp;:(&lt;= ?hsr 12000)</t>
  </si>
  <si>
    <t>"Conditions for full satisfaction (utopia)"</t>
  </si>
  <si>
    <t>Temporal-resolution# ?tr &amp;:(&lt;= ?tr 24)</t>
  </si>
  <si>
    <t>"Insufficient temporal resolution (3-7 days achieved, 2-3 days req'd, 1 day ideal)"</t>
  </si>
  <si>
    <t>"Insufficient temporal resolution (2-3 days achieved, 1 days ideal)"</t>
  </si>
  <si>
    <t>soil-penetration# ?pen&amp;:(&gt; ?pen 0.01)</t>
  </si>
  <si>
    <t>"Insufficient penetration (P-band ideal)"</t>
  </si>
  <si>
    <t>degraded-16</t>
  </si>
  <si>
    <t>degraded-17</t>
  </si>
  <si>
    <t>"Insufficient penetration (IR 1mm class achieved, 10cm class L-band required , 1mclass P-band ideal)"</t>
  </si>
  <si>
    <t>soil-penetration# ?pen&amp;:(&gt;= ?pen 0.001)</t>
  </si>
  <si>
    <t>"Insufficient sensitivity to soil moisture in vegetation (L-band achieved, P-band ideal)"</t>
  </si>
  <si>
    <t>sensitivity# ?sens&amp;:(&gt;= ?sens 0.0)</t>
  </si>
  <si>
    <t>Horizontal-Spatial-Resolution# ?hsr &amp;:(&lt;= ?hsr 40000)</t>
  </si>
  <si>
    <t>Horizontal-Spatial-Resolution# ?hsr &amp;:(&lt;= ?hsr 80000)</t>
  </si>
  <si>
    <t>"Insufficient HSR to meet needs for river streamflow forecasts (40-80km achieved, 40km desired, 80km required)"</t>
  </si>
  <si>
    <t>"Insufficient HSR to meet needs for river flas flood forecasts (50km required)"</t>
  </si>
  <si>
    <t>Horizontal-Spatial-Resolution# ?hsr &amp;:(&lt;= ?hsr 50000)</t>
  </si>
  <si>
    <t>WEA2</t>
  </si>
  <si>
    <t>WEA3</t>
  </si>
  <si>
    <t>WEA2-1</t>
  </si>
  <si>
    <t>WEA3-1</t>
  </si>
  <si>
    <t>CLI1</t>
  </si>
  <si>
    <t>CLI1-1</t>
  </si>
  <si>
    <t>Horizontal-Spatial-Resolution# ?hsr &amp;:(&lt;= ?hsr 100000)</t>
  </si>
  <si>
    <t>"Insufficient HSR to meet future climate models grid size (achieved 50-100km, currently 2x2deg = 100km, future 0.5x0.5deg=50km)"</t>
  </si>
  <si>
    <t>CLI2</t>
  </si>
  <si>
    <t>CLI2-1</t>
  </si>
  <si>
    <t>"3.3.1 Ocean salinity"</t>
  </si>
  <si>
    <t>CLI1-2</t>
  </si>
  <si>
    <t>"3.4.1 Ocean surface wind speed"</t>
  </si>
  <si>
    <t>"Insufficient accuracy (70%-80% achieved, 80% ideal, 70% required)"</t>
  </si>
  <si>
    <t>Accuracy# ?ac &amp;:(&lt;= ?ac 0.8)</t>
  </si>
  <si>
    <t>Accuracy# ?ac &amp;:(&lt;= ?ac 0.7)</t>
  </si>
  <si>
    <t>Accuracy# ?ac &amp;:(&lt;= ?ac 0.2)</t>
  </si>
  <si>
    <t>Accuracy# ?ac &amp;:(&lt;= ?ac 0.6)</t>
  </si>
  <si>
    <t>CLI2-2</t>
  </si>
  <si>
    <t>orbit-inclination polar</t>
  </si>
  <si>
    <t>"SSO orbit does not provide adequate tidal sampling (polar orbit required)"</t>
  </si>
  <si>
    <t>Accuracy# ?ac &amp;:(&lt;= ?ac 2)</t>
  </si>
  <si>
    <t>Accuracy# ?ac &amp;:(&lt;= ?ac 1)</t>
  </si>
  <si>
    <t>"Insufficient accuracy (1-2 m/s achieved, &lt;=1 m/s required)"</t>
  </si>
  <si>
    <t>ECO1</t>
  </si>
  <si>
    <t>ECO1-1</t>
  </si>
  <si>
    <t>Temporal-resolution# ?tr &amp;:(&lt;= ?tr 48)</t>
  </si>
  <si>
    <t>"Insufficient HSR for boreal landscapes (4-12km achieved, &lt;4km required)"</t>
  </si>
  <si>
    <t>"Insufficient HSR for boreal landscapes (12-30km achieved, &lt;4km required)"</t>
  </si>
  <si>
    <t>"Insufficient temporal resolution (2-3 days achieved, 2 days required)"</t>
  </si>
  <si>
    <t>"Insufficient temporal resolution (3-7 days achieved, 2 days req'd)"</t>
  </si>
  <si>
    <t>ECO2</t>
  </si>
  <si>
    <t>ECO2-1</t>
  </si>
  <si>
    <t>"2.3.3 Carbon net ecosystem exchange NEE"</t>
  </si>
  <si>
    <t>Horizontal-Spatial-Resolution# ?hsr &amp;:(&lt;= ?hsr 10000)</t>
  </si>
  <si>
    <t>Carbon net ecosystem exchange (L4)</t>
  </si>
  <si>
    <t>Rain rate</t>
  </si>
  <si>
    <t>Estimation of runoff-EVT</t>
  </si>
  <si>
    <t>WAT2</t>
  </si>
  <si>
    <t>WAT2-1</t>
  </si>
  <si>
    <t>"Insufficient temporal resolution (3-7 days achieved, 3 days req'd)"</t>
  </si>
  <si>
    <t>"Insufficient HSR for some hydrology models (12-40km achieved, &lt;12km required)"</t>
  </si>
  <si>
    <t>"Insufficient HSR for most hydrology models (40-100km achieved, &lt;12km required)"</t>
  </si>
  <si>
    <t>WAT1-2</t>
  </si>
  <si>
    <t>"1.7.3 Rain rate, tropical storms, and hurricanes"</t>
  </si>
  <si>
    <t>"Insufficient accuracy (10 mm/h achieved, &lt;=5 mm/h required)"</t>
  </si>
  <si>
    <t>Accuracy# ?ac &amp;:(&lt;= ?ac 5)</t>
  </si>
  <si>
    <t>Accuracy# ?ac &amp;:(&lt;= ?ac 10)</t>
  </si>
  <si>
    <t>WAT3</t>
  </si>
  <si>
    <t>WAT3-1</t>
  </si>
  <si>
    <t>"4.2.4 snow cover"</t>
  </si>
  <si>
    <t>Accuracy  High</t>
  </si>
  <si>
    <t>"Insufficient accuracy (IR+MW channels required)"</t>
  </si>
  <si>
    <t>orbit-inclination ?orb&amp;~polar</t>
  </si>
  <si>
    <t>"Suboptimal coverage of northern regions (not polar)"</t>
  </si>
  <si>
    <t>"4.3.2 Sea ice cover"</t>
  </si>
  <si>
    <t>HEA1</t>
  </si>
  <si>
    <t>HEA1-1</t>
  </si>
  <si>
    <t>"Insufficient HSR for drought monitoring (achieved 10-50km, &lt;10km required)"</t>
  </si>
  <si>
    <t>Accuracy# ?ac &amp;:(&lt;= ?ac 0.15)</t>
  </si>
  <si>
    <t>"Insufficient accuracy (11-15% achieved, 10% required)"</t>
  </si>
  <si>
    <t>HEA2-1</t>
  </si>
  <si>
    <t>HEA3</t>
  </si>
  <si>
    <t>HEA3-1</t>
  </si>
  <si>
    <t>HEA4</t>
  </si>
  <si>
    <t>HEA4-1</t>
  </si>
  <si>
    <t>HEA5</t>
  </si>
  <si>
    <t>HEA5-1</t>
  </si>
  <si>
    <t>WAT4-1</t>
  </si>
  <si>
    <t>WAT4</t>
  </si>
  <si>
    <t>"Insufficient accuracy (0.6 psu achieved, 0.2 psu required)"</t>
  </si>
  <si>
    <t>Horizontal-Spatial-Resolution# ?hsr &amp;:(&lt;= ?hsr 150000)</t>
  </si>
  <si>
    <t>Horizontal-Spatial-Resolution# ?hsr &amp;:(&lt;= ?hsr 300000)</t>
  </si>
  <si>
    <t>"Insufficient HSR to meet future climate models grid size (achieved 150-300km, 150km required)"</t>
  </si>
  <si>
    <t>Horizontal-Spatial-Resolution# ?hsr &amp;:(&lt;= ?hsr 60000)</t>
  </si>
  <si>
    <t>"Insufficient HSR to meet rain rate needs (&lt;100km achieved, &lt;60km required)"</t>
  </si>
  <si>
    <t>"Insufficient HSR to meet sea ice cover needs (&lt;100km achieved, &lt;60km required)"</t>
  </si>
  <si>
    <t>"Insufficient HSR to meet snow cover needs (&lt;100km achieved, &lt;60km required)"</t>
  </si>
  <si>
    <t>"Insufficient HSR to meet future climate models grid size (achieved 50-100km, currently 2x2deg = 100km, future 0.5x0.5deg=60km)"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</si>
</sst>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theme="0" tint="-0.14999847407452621"/>
      </patternFill>
    </fill>
    <fill>
      <patternFill patternType="solid">
        <fgColor theme="9" tint="0.79998168889431442"/>
        <bgColor theme="0" tint="-0.14999847407452621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9" fontId="0" fillId="0" borderId="0" xfId="1" applyFont="1" applyAlignment="1">
      <alignment horizontal="left" vertical="center"/>
    </xf>
    <xf numFmtId="9" fontId="0" fillId="2" borderId="0" xfId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49" fontId="0" fillId="2" borderId="0" xfId="1" applyNumberFormat="1" applyFont="1" applyFill="1" applyAlignment="1">
      <alignment horizontal="left" vertical="center"/>
    </xf>
    <xf numFmtId="9" fontId="0" fillId="0" borderId="0" xfId="1" applyFont="1"/>
    <xf numFmtId="0" fontId="0" fillId="5" borderId="0" xfId="0" applyFill="1"/>
    <xf numFmtId="9" fontId="0" fillId="5" borderId="0" xfId="1" applyFont="1" applyFill="1"/>
    <xf numFmtId="0" fontId="2" fillId="5" borderId="0" xfId="0" applyFont="1" applyFill="1"/>
    <xf numFmtId="0" fontId="0" fillId="4" borderId="0" xfId="0" applyFill="1"/>
    <xf numFmtId="9" fontId="0" fillId="4" borderId="0" xfId="1" applyFont="1" applyFill="1"/>
    <xf numFmtId="0" fontId="2" fillId="4" borderId="0" xfId="0" applyFont="1" applyFill="1"/>
    <xf numFmtId="0" fontId="0" fillId="3" borderId="0" xfId="0" applyFill="1"/>
    <xf numFmtId="9" fontId="0" fillId="3" borderId="0" xfId="1" applyFont="1" applyFill="1"/>
    <xf numFmtId="0" fontId="2" fillId="3" borderId="0" xfId="0" applyFont="1" applyFill="1"/>
    <xf numFmtId="0" fontId="0" fillId="2" borderId="0" xfId="0" applyFill="1"/>
    <xf numFmtId="9" fontId="0" fillId="2" borderId="0" xfId="1" applyFont="1" applyFill="1"/>
    <xf numFmtId="0" fontId="2" fillId="2" borderId="0" xfId="0" applyFont="1" applyFill="1"/>
    <xf numFmtId="0" fontId="0" fillId="0" borderId="0" xfId="0" applyFill="1"/>
    <xf numFmtId="0" fontId="0" fillId="0" borderId="0" xfId="0" applyNumberFormat="1"/>
    <xf numFmtId="0" fontId="2" fillId="0" borderId="0" xfId="0" applyFont="1"/>
    <xf numFmtId="9" fontId="2" fillId="0" borderId="0" xfId="0" applyNumberFormat="1" applyFont="1"/>
    <xf numFmtId="0" fontId="0" fillId="0" borderId="0" xfId="0" applyAlignment="1">
      <alignment vertical="center"/>
    </xf>
    <xf numFmtId="9" fontId="5" fillId="0" borderId="0" xfId="1" applyFont="1"/>
    <xf numFmtId="0" fontId="0" fillId="8" borderId="0" xfId="0" applyFill="1" applyAlignment="1">
      <alignment vertical="center"/>
    </xf>
    <xf numFmtId="0" fontId="0" fillId="8" borderId="0" xfId="0" applyFill="1"/>
    <xf numFmtId="9" fontId="0" fillId="8" borderId="0" xfId="1" applyFont="1" applyFill="1"/>
    <xf numFmtId="9" fontId="0" fillId="8" borderId="0" xfId="1" applyFont="1" applyFill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9" fontId="0" fillId="0" borderId="5" xfId="1" applyFont="1" applyBorder="1"/>
    <xf numFmtId="0" fontId="0" fillId="0" borderId="0" xfId="0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Fill="1" applyBorder="1"/>
    <xf numFmtId="9" fontId="2" fillId="0" borderId="8" xfId="1" applyFont="1" applyFill="1" applyBorder="1"/>
    <xf numFmtId="9" fontId="0" fillId="0" borderId="5" xfId="1" applyFont="1" applyFill="1" applyBorder="1"/>
    <xf numFmtId="0" fontId="0" fillId="0" borderId="0" xfId="0" quotePrefix="1"/>
    <xf numFmtId="9" fontId="6" fillId="0" borderId="0" xfId="1" applyFont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9" fontId="2" fillId="8" borderId="0" xfId="0" applyNumberFormat="1" applyFont="1" applyFill="1"/>
    <xf numFmtId="9" fontId="7" fillId="0" borderId="5" xfId="1" applyFont="1" applyBorder="1"/>
    <xf numFmtId="0" fontId="0" fillId="4" borderId="0" xfId="0" applyFill="1" applyAlignment="1">
      <alignment horizontal="left" vertical="center"/>
    </xf>
    <xf numFmtId="9" fontId="0" fillId="4" borderId="0" xfId="1" applyFont="1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9" fontId="0" fillId="3" borderId="0" xfId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9" borderId="0" xfId="0" applyFont="1" applyFill="1" applyBorder="1"/>
    <xf numFmtId="0" fontId="0" fillId="10" borderId="0" xfId="0" applyFont="1" applyFill="1" applyBorder="1"/>
    <xf numFmtId="49" fontId="0" fillId="3" borderId="0" xfId="0" applyNumberFormat="1" applyFill="1" applyAlignment="1">
      <alignment horizontal="left" vertical="center"/>
    </xf>
    <xf numFmtId="49" fontId="0" fillId="3" borderId="0" xfId="1" applyNumberFormat="1" applyFont="1" applyFill="1" applyAlignment="1">
      <alignment horizontal="left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2" fillId="7" borderId="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ridium%20Objective%20Rule%20Defini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 aggregation rules"/>
      <sheetName val="Requirement rules"/>
      <sheetName val="Iridium Objective Rule Definiti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F3:I7" totalsRowShown="0">
  <autoFilter ref="F3:I7"/>
  <tableColumns count="4">
    <tableColumn id="1" name="Objective"/>
    <tableColumn id="2" name="Id"/>
    <tableColumn id="3" name="Description" dataDxfId="148"/>
    <tableColumn id="4" name="Weight" dataDxfId="147" dataCellStyle="Percent"/>
  </tableColumns>
  <tableStyleInfo name="TableStyleMedium17" showFirstColumn="0" showLastColumn="0" showRowStripes="1" showColumnStripes="0"/>
</table>
</file>

<file path=xl/tables/table10.xml><?xml version="1.0" encoding="utf-8"?>
<table xmlns="http://schemas.openxmlformats.org/spreadsheetml/2006/main" id="25" name="Table242126" displayName="Table242126" ref="U9:X11" totalsRowShown="0">
  <autoFilter ref="U9:X11"/>
  <tableColumns count="4">
    <tableColumn id="1" name="Subobjective"/>
    <tableColumn id="2" name="Id" dataDxfId="133">
      <calculatedColumnFormula>CONCATENATE($L$8,"-",Table242126[[#This Row],[Subobjective]])</calculatedColumnFormula>
    </tableColumn>
    <tableColumn id="3" name="Description"/>
    <tableColumn id="4" name="Weight" dataDxfId="132" dataCellStyle="Percent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28" name="Table11429" displayName="Table11429" ref="F16:I19" totalsRowShown="0">
  <autoFilter ref="F16:I19"/>
  <tableColumns count="4">
    <tableColumn id="1" name="Objective"/>
    <tableColumn id="2" name="Id"/>
    <tableColumn id="3" name="Description" dataDxfId="131"/>
    <tableColumn id="4" name="Weight" dataDxfId="130" dataCellStyle="Percent"/>
  </tableColumns>
  <tableStyleInfo name="TableStyleMedium17" showFirstColumn="0" showLastColumn="0" showRowStripes="1" showColumnStripes="0"/>
</table>
</file>

<file path=xl/tables/table12.xml><?xml version="1.0" encoding="utf-8"?>
<table xmlns="http://schemas.openxmlformats.org/spreadsheetml/2006/main" id="29" name="Table1142930" displayName="Table1142930" ref="F22:I27" totalsRowShown="0">
  <autoFilter ref="F22:I27"/>
  <tableColumns count="4">
    <tableColumn id="1" name="Objective"/>
    <tableColumn id="2" name="Id"/>
    <tableColumn id="3" name="Description" dataDxfId="129"/>
    <tableColumn id="4" name="Weight" dataDxfId="128" dataCellStyle="Percent"/>
  </tableColumns>
  <tableStyleInfo name="TableStyleMedium17" showFirstColumn="0" showLastColumn="0" showRowStripes="1" showColumnStripes="0"/>
</table>
</file>

<file path=xl/tables/table13.xml><?xml version="1.0" encoding="utf-8"?>
<table xmlns="http://schemas.openxmlformats.org/spreadsheetml/2006/main" id="30" name="Table1142931" displayName="Table1142931" ref="F30:I36" totalsRowShown="0">
  <autoFilter ref="F30:I36"/>
  <tableColumns count="4">
    <tableColumn id="1" name="Objective"/>
    <tableColumn id="2" name="Id"/>
    <tableColumn id="3" name="Description" dataDxfId="127"/>
    <tableColumn id="4" name="Weight" dataDxfId="126" dataCellStyle="Percent"/>
  </tableColumns>
  <tableStyleInfo name="TableStyleMedium17" showFirstColumn="0" showLastColumn="0" showRowStripes="1" showColumnStripes="0"/>
</table>
</file>

<file path=xl/tables/table14.xml><?xml version="1.0" encoding="utf-8"?>
<table xmlns="http://schemas.openxmlformats.org/spreadsheetml/2006/main" id="33" name="Table234" displayName="Table234" ref="Z4:AC7" totalsRowShown="0">
  <autoFilter ref="Z4:AC7"/>
  <tableColumns count="4">
    <tableColumn id="1" name="Subobjective"/>
    <tableColumn id="2" name="Id"/>
    <tableColumn id="3" name="Description"/>
    <tableColumn id="4" name="Weight" dataDxfId="125" dataCellStyle="Percent"/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id="34" name="Table2435" displayName="Table2435" ref="Z10:AC12" totalsRowShown="0">
  <autoFilter ref="Z10:AC12"/>
  <tableColumns count="4">
    <tableColumn id="1" name="Subobjective"/>
    <tableColumn id="2" name="Id" dataDxfId="124">
      <calculatedColumnFormula>CONCATENATE($L$8,"-",Table2435[[#This Row],[Subobjective]])</calculatedColumnFormula>
    </tableColumn>
    <tableColumn id="3" name="Description"/>
    <tableColumn id="4" name="Weight" dataDxfId="123" dataCellStyle="Percent"/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id="35" name="Table24536" displayName="Table24536" ref="Z15:AC17" totalsRowShown="0">
  <autoFilter ref="Z15:AC17"/>
  <tableColumns count="4">
    <tableColumn id="1" name="Subobjective"/>
    <tableColumn id="2" name="Id" dataDxfId="122">
      <calculatedColumnFormula>CONCATENATE($L$13,"-",[1]!Table24[[#This Row],[Subobjective]])</calculatedColumnFormula>
    </tableColumn>
    <tableColumn id="3" name="Description"/>
    <tableColumn id="4" name="Weight" dataDxfId="121" dataCellStyle="Percent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36" name="Table245637" displayName="Table245637" ref="Z20:AC22" totalsRowShown="0">
  <autoFilter ref="Z20:AC22"/>
  <tableColumns count="4">
    <tableColumn id="1" name="Subobjective"/>
    <tableColumn id="2" name="Id" dataDxfId="120">
      <calculatedColumnFormula>CONCATENATE($L$13,"-",[1]!Table24[[#This Row],[Subobjective]])</calculatedColumnFormula>
    </tableColumn>
    <tableColumn id="3" name="Description"/>
    <tableColumn id="4" name="Weight" dataDxfId="119" dataCellStyle="Percent"/>
  </tableColumns>
  <tableStyleInfo name="TableStyleLight10" showFirstColumn="0" showLastColumn="0" showRowStripes="1" showColumnStripes="0"/>
</table>
</file>

<file path=xl/tables/table18.xml><?xml version="1.0" encoding="utf-8"?>
<table xmlns="http://schemas.openxmlformats.org/spreadsheetml/2006/main" id="40" name="Table23441" displayName="Table23441" ref="AE4:AH6" totalsRowShown="0">
  <autoFilter ref="AE4:AH6"/>
  <tableColumns count="4">
    <tableColumn id="1" name="Subobjective"/>
    <tableColumn id="2" name="Id"/>
    <tableColumn id="3" name="Description"/>
    <tableColumn id="4" name="Weight" dataDxfId="118" dataCellStyle="Percent"/>
  </tableColumns>
  <tableStyleInfo name="TableStyleLight10" showFirstColumn="0" showLastColumn="0" showRowStripes="1" showColumnStripes="0"/>
</table>
</file>

<file path=xl/tables/table19.xml><?xml version="1.0" encoding="utf-8"?>
<table xmlns="http://schemas.openxmlformats.org/spreadsheetml/2006/main" id="41" name="Table243542" displayName="Table243542" ref="AE9:AH11" totalsRowShown="0">
  <autoFilter ref="AE9:AH11"/>
  <tableColumns count="4">
    <tableColumn id="1" name="Subobjective"/>
    <tableColumn id="2" name="Id" dataDxfId="117">
      <calculatedColumnFormula>CONCATENATE($L$8,"-",Table243542[[#This Row],[Subobjective]])</calculatedColumnFormula>
    </tableColumn>
    <tableColumn id="3" name="Description"/>
    <tableColumn id="4" name="Weight" dataDxfId="116" dataCellStyle="Percent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4:N6" totalsRowShown="0">
  <autoFilter ref="K4:N6"/>
  <tableColumns count="4">
    <tableColumn id="1" name="Subobjective"/>
    <tableColumn id="2" name="Id"/>
    <tableColumn id="3" name="Description"/>
    <tableColumn id="4" name="Weight" dataDxfId="146" dataCellStyle="Percent"/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id="42" name="Table2453643" displayName="Table2453643" ref="AE14:AH16" totalsRowShown="0">
  <autoFilter ref="AE14:AH16"/>
  <tableColumns count="4">
    <tableColumn id="1" name="Subobjective"/>
    <tableColumn id="2" name="Id" dataDxfId="115">
      <calculatedColumnFormula>CONCATENATE($L$13,"-",[1]!Table24[[#This Row],[Subobjective]])</calculatedColumnFormula>
    </tableColumn>
    <tableColumn id="3" name="Description"/>
    <tableColumn id="4" name="Weight" dataDxfId="114" dataCellStyle="Percent"/>
  </tableColumns>
  <tableStyleInfo name="TableStyleLight10" showFirstColumn="0" showLastColumn="0" showRowStripes="1" showColumnStripes="0"/>
</table>
</file>

<file path=xl/tables/table21.xml><?xml version="1.0" encoding="utf-8"?>
<table xmlns="http://schemas.openxmlformats.org/spreadsheetml/2006/main" id="43" name="Table24563744" displayName="Table24563744" ref="AE19:AH21" totalsRowShown="0">
  <autoFilter ref="AE19:AH21"/>
  <tableColumns count="4">
    <tableColumn id="1" name="Subobjective"/>
    <tableColumn id="2" name="Id" dataDxfId="113">
      <calculatedColumnFormula>CONCATENATE($L$13,"-",[1]!Table24[[#This Row],[Subobjective]])</calculatedColumnFormula>
    </tableColumn>
    <tableColumn id="3" name="Description"/>
    <tableColumn id="4" name="Weight" dataDxfId="112" dataCellStyle="Percent"/>
  </tableColumns>
  <tableStyleInfo name="TableStyleLight10" showFirstColumn="0" showLastColumn="0" showRowStripes="1" showColumnStripes="0"/>
</table>
</file>

<file path=xl/tables/table22.xml><?xml version="1.0" encoding="utf-8"?>
<table xmlns="http://schemas.openxmlformats.org/spreadsheetml/2006/main" id="44" name="Table245673845" displayName="Table245673845" ref="AE24:AH26" totalsRowShown="0">
  <autoFilter ref="AE24:AH26"/>
  <tableColumns count="4">
    <tableColumn id="1" name="Subobjective"/>
    <tableColumn id="2" name="Id" dataDxfId="111">
      <calculatedColumnFormula>CONCATENATE(#REF!,"-",Table245673845[[#This Row],[Subobjective]])</calculatedColumnFormula>
    </tableColumn>
    <tableColumn id="3" name="Description"/>
    <tableColumn id="4" name="Weight" dataDxfId="110" dataCellStyle="Percent"/>
  </tableColumns>
  <tableStyleInfo name="TableStyleLight10" showFirstColumn="0" showLastColumn="0" showRowStripes="1" showColumnStripes="0"/>
</table>
</file>

<file path=xl/tables/table23.xml><?xml version="1.0" encoding="utf-8"?>
<table xmlns="http://schemas.openxmlformats.org/spreadsheetml/2006/main" id="9" name="Table9" displayName="Table9" ref="A1:F84" totalsRowShown="0">
  <autoFilter ref="A1:F84"/>
  <tableColumns count="6">
    <tableColumn id="1" name="Scientist"/>
    <tableColumn id="2" name="Institution"/>
    <tableColumn id="3" name="Panel"/>
    <tableColumn id="4" name="Email"/>
    <tableColumn id="6" name="Email sent"/>
    <tableColumn id="5" name="Interviewed"/>
  </tableColumns>
  <tableStyleInfo name="TableStyleMedium17" showFirstColumn="0" showLastColumn="0" showRowStripes="1" showColumnStripes="0"/>
</table>
</file>

<file path=xl/tables/table24.xml><?xml version="1.0" encoding="utf-8"?>
<table xmlns="http://schemas.openxmlformats.org/spreadsheetml/2006/main" id="10" name="Table10" displayName="Table10" ref="A14:G21" totalsRowShown="0">
  <autoFilter ref="A14:G21"/>
  <tableColumns count="7">
    <tableColumn id="1" name="Instrument"/>
    <tableColumn id="2" name="All-weather"/>
    <tableColumn id="3" name="Concept"/>
    <tableColumn id="4" name="Day and Night capability"/>
    <tableColumn id="5" name="Illumination source"/>
    <tableColumn id="6" name="Intent" dataDxfId="78"/>
    <tableColumn id="7" name="Soil penetration"/>
  </tableColumns>
  <tableStyleInfo name="TableStyleLight10" showFirstColumn="0" showLastColumn="0" showRowStripes="1" showColumnStripes="0"/>
</table>
</file>

<file path=xl/tables/table25.xml><?xml version="1.0" encoding="utf-8"?>
<table xmlns="http://schemas.openxmlformats.org/spreadsheetml/2006/main" id="11" name="Table112" displayName="Table112" ref="F3:I11" totalsRowShown="0">
  <autoFilter ref="F3:I11"/>
  <tableColumns count="4">
    <tableColumn id="1" name="Objective"/>
    <tableColumn id="2" name="Id"/>
    <tableColumn id="3" name="Description" dataDxfId="77"/>
    <tableColumn id="4" name="Weight" dataDxfId="76" dataCellStyle="Percent"/>
  </tableColumns>
  <tableStyleInfo name="TableStyleMedium17" showFirstColumn="0" showLastColumn="0" showRowStripes="1" showColumnStripes="0"/>
</table>
</file>

<file path=xl/tables/table26.xml><?xml version="1.0" encoding="utf-8"?>
<table xmlns="http://schemas.openxmlformats.org/spreadsheetml/2006/main" id="14" name="Table215" displayName="Table215" ref="K4:N10" totalsRowShown="0">
  <autoFilter ref="K4:N10"/>
  <tableColumns count="4">
    <tableColumn id="1" name="Subobjective"/>
    <tableColumn id="2" name="Id"/>
    <tableColumn id="3" name="Description"/>
    <tableColumn id="4" name="Weight" dataDxfId="75" dataCellStyle="Percent"/>
  </tableColumns>
  <tableStyleInfo name="TableStyleLight10" showFirstColumn="0" showLastColumn="0" showRowStripes="1" showColumnStripes="0"/>
</table>
</file>

<file path=xl/tables/table27.xml><?xml version="1.0" encoding="utf-8"?>
<table xmlns="http://schemas.openxmlformats.org/spreadsheetml/2006/main" id="15" name="Table2416" displayName="Table2416" ref="K13:N20" totalsRowShown="0">
  <autoFilter ref="K13:N20"/>
  <tableColumns count="4">
    <tableColumn id="1" name="Subobjective"/>
    <tableColumn id="2" name="Id" dataDxfId="74">
      <calculatedColumnFormula>CONCATENATE($L$12,"-",Table2416[[#This Row],[Subobjective]])</calculatedColumnFormula>
    </tableColumn>
    <tableColumn id="3" name="Description"/>
    <tableColumn id="4" name="Weight" dataDxfId="73" dataCellStyle="Percent"/>
  </tableColumns>
  <tableStyleInfo name="TableStyleLight10" showFirstColumn="0" showLastColumn="0" showRowStripes="1" showColumnStripes="0"/>
</table>
</file>

<file path=xl/tables/table28.xml><?xml version="1.0" encoding="utf-8"?>
<table xmlns="http://schemas.openxmlformats.org/spreadsheetml/2006/main" id="16" name="Table24517" displayName="Table24517" ref="K23:N28" totalsRowShown="0">
  <autoFilter ref="K23:N28"/>
  <tableColumns count="4">
    <tableColumn id="1" name="Subobjective"/>
    <tableColumn id="2" name="Id" dataDxfId="72">
      <calculatedColumnFormula>CONCATENATE($L$22,"-",[1]!Table24[[#This Row],[Subobjective]])</calculatedColumnFormula>
    </tableColumn>
    <tableColumn id="3" name="Description"/>
    <tableColumn id="4" name="Weight" dataDxfId="71" dataCellStyle="Percent"/>
  </tableColumns>
  <tableStyleInfo name="TableStyleLight10" showFirstColumn="0" showLastColumn="0" showRowStripes="1" showColumnStripes="0"/>
</table>
</file>

<file path=xl/tables/table29.xml><?xml version="1.0" encoding="utf-8"?>
<table xmlns="http://schemas.openxmlformats.org/spreadsheetml/2006/main" id="17" name="Table245618" displayName="Table245618" ref="K31:N37" totalsRowShown="0">
  <autoFilter ref="K31:N37"/>
  <tableColumns count="4">
    <tableColumn id="1" name="Subobjective"/>
    <tableColumn id="2" name="Id" dataDxfId="70">
      <calculatedColumnFormula>CONCATENATE($L$22,"-",[1]!Table24[[#This Row],[Subobjective]])</calculatedColumnFormula>
    </tableColumn>
    <tableColumn id="3" name="Description"/>
    <tableColumn id="4" name="Weight" dataDxfId="69" dataCellStyle="Percent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K9:N11" totalsRowShown="0">
  <autoFilter ref="K9:N11"/>
  <tableColumns count="4">
    <tableColumn id="1" name="Subobjective"/>
    <tableColumn id="2" name="Id" dataDxfId="145">
      <calculatedColumnFormula>CONCATENATE($L$8,"-",Table24[[#This Row],[Subobjective]])</calculatedColumnFormula>
    </tableColumn>
    <tableColumn id="3" name="Description"/>
    <tableColumn id="4" name="Weight" dataDxfId="144" dataCellStyle="Percent"/>
  </tableColumns>
  <tableStyleInfo name="TableStyleLight10" showFirstColumn="0" showLastColumn="0" showRowStripes="1" showColumnStripes="0"/>
</table>
</file>

<file path=xl/tables/table30.xml><?xml version="1.0" encoding="utf-8"?>
<table xmlns="http://schemas.openxmlformats.org/spreadsheetml/2006/main" id="18" name="Table2456719" displayName="Table2456719" ref="K40:N42" totalsRowShown="0">
  <autoFilter ref="K40:N42"/>
  <tableColumns count="4">
    <tableColumn id="1" name="Subobjective"/>
    <tableColumn id="2" name="Id" dataDxfId="68">
      <calculatedColumnFormula>CONCATENATE($L$22,"-",[1]!Table24[[#This Row],[Subobjective]])</calculatedColumnFormula>
    </tableColumn>
    <tableColumn id="3" name="Description"/>
    <tableColumn id="4" name="Weight" dataDxfId="67" dataCellStyle="Percent"/>
  </tableColumns>
  <tableStyleInfo name="TableStyleLight10" showFirstColumn="0" showLastColumn="0" showRowStripes="1" showColumnStripes="0"/>
</table>
</file>

<file path=xl/tables/table31.xml><?xml version="1.0" encoding="utf-8"?>
<table xmlns="http://schemas.openxmlformats.org/spreadsheetml/2006/main" id="51" name="Table24567852" displayName="Table24567852" ref="K45:N53" totalsRowShown="0">
  <autoFilter ref="K45:N53"/>
  <tableColumns count="4">
    <tableColumn id="1" name="Subobjective"/>
    <tableColumn id="2" name="Id" dataDxfId="66">
      <calculatedColumnFormula>CONCATENATE($L$22,"-",[1]!Table24[[#This Row],[Subobjective]])</calculatedColumnFormula>
    </tableColumn>
    <tableColumn id="3" name="Description"/>
    <tableColumn id="4" name="Weight" dataDxfId="65" dataCellStyle="Percent"/>
  </tableColumns>
  <tableStyleInfo name="TableStyleLight10" showFirstColumn="0" showLastColumn="0" showRowStripes="1" showColumnStripes="0"/>
</table>
</file>

<file path=xl/tables/table32.xml><?xml version="1.0" encoding="utf-8"?>
<table xmlns="http://schemas.openxmlformats.org/spreadsheetml/2006/main" id="52" name="Table24567953" displayName="Table24567953" ref="K56:N69" totalsRowShown="0">
  <autoFilter ref="K56:N69"/>
  <tableColumns count="4">
    <tableColumn id="1" name="Subobjective"/>
    <tableColumn id="2" name="Id" dataDxfId="64">
      <calculatedColumnFormula>CONCATENATE($L$22,"-",[1]!Table24[[#This Row],[Subobjective]])</calculatedColumnFormula>
    </tableColumn>
    <tableColumn id="3" name="Description"/>
    <tableColumn id="4" name="Weight" dataDxfId="63" dataCellStyle="Percent"/>
  </tableColumns>
  <tableStyleInfo name="TableStyleLight10" showFirstColumn="0" showLastColumn="0" showRowStripes="1" showColumnStripes="0"/>
</table>
</file>

<file path=xl/tables/table33.xml><?xml version="1.0" encoding="utf-8"?>
<table xmlns="http://schemas.openxmlformats.org/spreadsheetml/2006/main" id="53" name="Table11354" displayName="Table11354" ref="A2:D9" totalsRowShown="0">
  <autoFilter ref="A2:D9"/>
  <tableColumns count="4">
    <tableColumn id="1" name="Panel"/>
    <tableColumn id="2" name="Id"/>
    <tableColumn id="3" name="Description" dataDxfId="62"/>
    <tableColumn id="4" name="Weight" dataDxfId="61" dataCellStyle="Percent"/>
  </tableColumns>
  <tableStyleInfo name="TableStyleMedium17" showFirstColumn="0" showLastColumn="0" showRowStripes="1" showColumnStripes="0"/>
</table>
</file>

<file path=xl/tables/table34.xml><?xml version="1.0" encoding="utf-8"?>
<table xmlns="http://schemas.openxmlformats.org/spreadsheetml/2006/main" id="54" name="Table11455" displayName="Table11455" ref="F14:I20" totalsRowShown="0">
  <autoFilter ref="F14:I20"/>
  <tableColumns count="4">
    <tableColumn id="1" name="Objective"/>
    <tableColumn id="2" name="Id"/>
    <tableColumn id="3" name="Description" dataDxfId="60"/>
    <tableColumn id="4" name="Weight" dataDxfId="59" dataCellStyle="Percent"/>
  </tableColumns>
  <tableStyleInfo name="TableStyleMedium17" showFirstColumn="0" showLastColumn="0" showRowStripes="1" showColumnStripes="0"/>
</table>
</file>

<file path=xl/tables/table35.xml><?xml version="1.0" encoding="utf-8"?>
<table xmlns="http://schemas.openxmlformats.org/spreadsheetml/2006/main" id="55" name="Table22056" displayName="Table22056" ref="P4:S17" totalsRowShown="0">
  <autoFilter ref="P4:S17"/>
  <tableColumns count="4">
    <tableColumn id="1" name="Subobjective"/>
    <tableColumn id="2" name="Id"/>
    <tableColumn id="3" name="Description"/>
    <tableColumn id="4" name="Weight" dataDxfId="58" dataCellStyle="Percent"/>
  </tableColumns>
  <tableStyleInfo name="TableStyleLight10" showFirstColumn="0" showLastColumn="0" showRowStripes="1" showColumnStripes="0"/>
</table>
</file>

<file path=xl/tables/table36.xml><?xml version="1.0" encoding="utf-8"?>
<table xmlns="http://schemas.openxmlformats.org/spreadsheetml/2006/main" id="56" name="Table242157" displayName="Table242157" ref="P20:S28" totalsRowShown="0">
  <autoFilter ref="P20:S28"/>
  <tableColumns count="4">
    <tableColumn id="1" name="Subobjective"/>
    <tableColumn id="2" name="Id" dataDxfId="57">
      <calculatedColumnFormula>CONCATENATE($L$12,"-",Table242157[[#This Row],[Subobjective]])</calculatedColumnFormula>
    </tableColumn>
    <tableColumn id="3" name="Description"/>
    <tableColumn id="4" name="Weight" dataDxfId="56" dataCellStyle="Percent"/>
  </tableColumns>
  <tableStyleInfo name="TableStyleLight10" showFirstColumn="0" showLastColumn="0" showRowStripes="1" showColumnStripes="0"/>
</table>
</file>

<file path=xl/tables/table37.xml><?xml version="1.0" encoding="utf-8"?>
<table xmlns="http://schemas.openxmlformats.org/spreadsheetml/2006/main" id="57" name="Table2452258" displayName="Table2452258" ref="P31:S38" totalsRowShown="0">
  <autoFilter ref="P31:S38"/>
  <tableColumns count="4">
    <tableColumn id="1" name="Subobjective"/>
    <tableColumn id="2" name="Id" dataDxfId="55">
      <calculatedColumnFormula>CONCATENATE($L$22,"-",[1]!Table24[[#This Row],[Subobjective]])</calculatedColumnFormula>
    </tableColumn>
    <tableColumn id="3" name="Description"/>
    <tableColumn id="4" name="Weight" dataDxfId="54" dataCellStyle="Percent"/>
  </tableColumns>
  <tableStyleInfo name="TableStyleLight10" showFirstColumn="0" showLastColumn="0" showRowStripes="1" showColumnStripes="0"/>
</table>
</file>

<file path=xl/tables/table38.xml><?xml version="1.0" encoding="utf-8"?>
<table xmlns="http://schemas.openxmlformats.org/spreadsheetml/2006/main" id="58" name="Table24562359" displayName="Table24562359" ref="P41:S48" totalsRowShown="0">
  <autoFilter ref="P41:S48"/>
  <tableColumns count="4">
    <tableColumn id="1" name="Subobjective"/>
    <tableColumn id="2" name="Id" dataDxfId="53">
      <calculatedColumnFormula>CONCATENATE($L$22,"-",[1]!Table24[[#This Row],[Subobjective]])</calculatedColumnFormula>
    </tableColumn>
    <tableColumn id="3" name="Description"/>
    <tableColumn id="4" name="Weight" dataDxfId="52" dataCellStyle="Percent"/>
  </tableColumns>
  <tableStyleInfo name="TableStyleLight10" showFirstColumn="0" showLastColumn="0" showRowStripes="1" showColumnStripes="0"/>
</table>
</file>

<file path=xl/tables/table39.xml><?xml version="1.0" encoding="utf-8"?>
<table xmlns="http://schemas.openxmlformats.org/spreadsheetml/2006/main" id="59" name="Table245672460" displayName="Table245672460" ref="P51:S56" totalsRowShown="0">
  <autoFilter ref="P51:S56"/>
  <tableColumns count="4">
    <tableColumn id="1" name="Subobjective"/>
    <tableColumn id="2" name="Id" dataDxfId="51">
      <calculatedColumnFormula>CONCATENATE($Q$50,"-",Table245672460[[#This Row],[Subobjective]])</calculatedColumnFormula>
    </tableColumn>
    <tableColumn id="3" name="Description"/>
    <tableColumn id="4" name="Weight" dataDxfId="50" dataCellStyle="Percent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K14:N16" totalsRowShown="0">
  <autoFilter ref="K14:N16"/>
  <tableColumns count="4">
    <tableColumn id="1" name="Subobjective"/>
    <tableColumn id="2" name="Id" dataDxfId="143">
      <calculatedColumnFormula>CONCATENATE($L$13,"-",[1]!Table24[[#This Row],[Subobjective]])</calculatedColumnFormula>
    </tableColumn>
    <tableColumn id="3" name="Description"/>
    <tableColumn id="4" name="Weight" dataDxfId="142" dataCellStyle="Percent"/>
  </tableColumns>
  <tableStyleInfo name="TableStyleLight10" showFirstColumn="0" showLastColumn="0" showRowStripes="1" showColumnStripes="0"/>
</table>
</file>

<file path=xl/tables/table40.xml><?xml version="1.0" encoding="utf-8"?>
<table xmlns="http://schemas.openxmlformats.org/spreadsheetml/2006/main" id="60" name="Table2202561" displayName="Table2202561" ref="U4:X10" totalsRowShown="0">
  <autoFilter ref="U4:X10"/>
  <tableColumns count="4">
    <tableColumn id="1" name="Subobjective"/>
    <tableColumn id="2" name="Id"/>
    <tableColumn id="3" name="Description"/>
    <tableColumn id="4" name="Weight" dataDxfId="49" dataCellStyle="Percent"/>
  </tableColumns>
  <tableStyleInfo name="TableStyleLight10" showFirstColumn="0" showLastColumn="0" showRowStripes="1" showColumnStripes="0"/>
</table>
</file>

<file path=xl/tables/table41.xml><?xml version="1.0" encoding="utf-8"?>
<table xmlns="http://schemas.openxmlformats.org/spreadsheetml/2006/main" id="61" name="Table24212662" displayName="Table24212662" ref="U13:X18" totalsRowShown="0">
  <autoFilter ref="U13:X18"/>
  <tableColumns count="4">
    <tableColumn id="1" name="Subobjective"/>
    <tableColumn id="2" name="Id" dataDxfId="48">
      <calculatedColumnFormula>CONCATENATE($L$12,"-",Table24212662[[#This Row],[Subobjective]])</calculatedColumnFormula>
    </tableColumn>
    <tableColumn id="3" name="Description"/>
    <tableColumn id="4" name="Weight" dataDxfId="47" dataCellStyle="Percent"/>
  </tableColumns>
  <tableStyleInfo name="TableStyleLight10" showFirstColumn="0" showLastColumn="0" showRowStripes="1" showColumnStripes="0"/>
</table>
</file>

<file path=xl/tables/table42.xml><?xml version="1.0" encoding="utf-8"?>
<table xmlns="http://schemas.openxmlformats.org/spreadsheetml/2006/main" id="62" name="Table245222763" displayName="Table245222763" ref="U21:X25" totalsRowShown="0">
  <autoFilter ref="U21:X25"/>
  <tableColumns count="4">
    <tableColumn id="1" name="Subobjective"/>
    <tableColumn id="2" name="Id" dataDxfId="46">
      <calculatedColumnFormula>CONCATENATE($L$22,"-",[1]!Table24[[#This Row],[Subobjective]])</calculatedColumnFormula>
    </tableColumn>
    <tableColumn id="3" name="Description"/>
    <tableColumn id="4" name="Weight" dataDxfId="45" dataCellStyle="Percent"/>
  </tableColumns>
  <tableStyleInfo name="TableStyleLight10" showFirstColumn="0" showLastColumn="0" showRowStripes="1" showColumnStripes="0"/>
</table>
</file>

<file path=xl/tables/table43.xml><?xml version="1.0" encoding="utf-8"?>
<table xmlns="http://schemas.openxmlformats.org/spreadsheetml/2006/main" id="63" name="Table2456232864" displayName="Table2456232864" ref="U28:X33" totalsRowShown="0">
  <autoFilter ref="U28:X33"/>
  <tableColumns count="4">
    <tableColumn id="1" name="Subobjective"/>
    <tableColumn id="2" name="Id" dataDxfId="44">
      <calculatedColumnFormula>CONCATENATE($L$22,"-",[1]!Table24[[#This Row],[Subobjective]])</calculatedColumnFormula>
    </tableColumn>
    <tableColumn id="3" name="Description"/>
    <tableColumn id="4" name="Weight" dataDxfId="43" dataCellStyle="Percent"/>
  </tableColumns>
  <tableStyleInfo name="TableStyleLight10" showFirstColumn="0" showLastColumn="0" showRowStripes="1" showColumnStripes="0"/>
</table>
</file>

<file path=xl/tables/table44.xml><?xml version="1.0" encoding="utf-8"?>
<table xmlns="http://schemas.openxmlformats.org/spreadsheetml/2006/main" id="64" name="Table1142965" displayName="Table1142965" ref="F23:I29" totalsRowShown="0">
  <autoFilter ref="F23:I29"/>
  <tableColumns count="4">
    <tableColumn id="1" name="Objective"/>
    <tableColumn id="2" name="Id"/>
    <tableColumn id="3" name="Description" dataDxfId="42"/>
    <tableColumn id="4" name="Weight" dataDxfId="41" dataCellStyle="Percent"/>
  </tableColumns>
  <tableStyleInfo name="TableStyleMedium17" showFirstColumn="0" showLastColumn="0" showRowStripes="1" showColumnStripes="0"/>
</table>
</file>

<file path=xl/tables/table45.xml><?xml version="1.0" encoding="utf-8"?>
<table xmlns="http://schemas.openxmlformats.org/spreadsheetml/2006/main" id="65" name="Table114293066" displayName="Table114293066" ref="F32:I40" totalsRowShown="0">
  <autoFilter ref="F32:I40"/>
  <tableColumns count="4">
    <tableColumn id="1" name="Objective"/>
    <tableColumn id="2" name="Id"/>
    <tableColumn id="3" name="Description" dataDxfId="40"/>
    <tableColumn id="4" name="Weight" dataDxfId="39" dataCellStyle="Percent"/>
  </tableColumns>
  <tableStyleInfo name="TableStyleMedium17" showFirstColumn="0" showLastColumn="0" showRowStripes="1" showColumnStripes="0"/>
</table>
</file>

<file path=xl/tables/table46.xml><?xml version="1.0" encoding="utf-8"?>
<table xmlns="http://schemas.openxmlformats.org/spreadsheetml/2006/main" id="66" name="Table114293167" displayName="Table114293167" ref="F43:I50" totalsRowShown="0">
  <autoFilter ref="F43:I50"/>
  <tableColumns count="4">
    <tableColumn id="1" name="Objective"/>
    <tableColumn id="2" name="Id"/>
    <tableColumn id="3" name="Description" dataDxfId="38"/>
    <tableColumn id="4" name="Weight" dataDxfId="37" dataCellStyle="Percent"/>
  </tableColumns>
  <tableStyleInfo name="TableStyleMedium17" showFirstColumn="0" showLastColumn="0" showRowStripes="1" showColumnStripes="0"/>
</table>
</file>

<file path=xl/tables/table47.xml><?xml version="1.0" encoding="utf-8"?>
<table xmlns="http://schemas.openxmlformats.org/spreadsheetml/2006/main" id="67" name="Table114293268" displayName="Table114293268" ref="F53:I59" totalsRowShown="0">
  <autoFilter ref="F53:I59"/>
  <tableColumns count="4">
    <tableColumn id="1" name="Objective"/>
    <tableColumn id="2" name="Id"/>
    <tableColumn id="3" name="Description" dataDxfId="36"/>
    <tableColumn id="4" name="Weight" dataDxfId="35" dataCellStyle="Percent"/>
  </tableColumns>
  <tableStyleInfo name="TableStyleMedium17" showFirstColumn="0" showLastColumn="0" showRowStripes="1" showColumnStripes="0"/>
</table>
</file>

<file path=xl/tables/table48.xml><?xml version="1.0" encoding="utf-8"?>
<table xmlns="http://schemas.openxmlformats.org/spreadsheetml/2006/main" id="68" name="Table24567243369" displayName="Table24567243369" ref="U36:X40" totalsRowShown="0">
  <autoFilter ref="U36:X40"/>
  <tableColumns count="4">
    <tableColumn id="1" name="Subobjective"/>
    <tableColumn id="2" name="Id" dataDxfId="34">
      <calculatedColumnFormula>CONCATENATE($Q$50,"-",Table24567243369[[#This Row],[Subobjective]])</calculatedColumnFormula>
    </tableColumn>
    <tableColumn id="3" name="Description"/>
    <tableColumn id="4" name="Weight" dataDxfId="33" dataCellStyle="Percent"/>
  </tableColumns>
  <tableStyleInfo name="TableStyleLight10" showFirstColumn="0" showLastColumn="0" showRowStripes="1" showColumnStripes="0"/>
</table>
</file>

<file path=xl/tables/table49.xml><?xml version="1.0" encoding="utf-8"?>
<table xmlns="http://schemas.openxmlformats.org/spreadsheetml/2006/main" id="69" name="Table23470" displayName="Table23470" ref="Z4:AC7" totalsRowShown="0">
  <autoFilter ref="Z4:AC7"/>
  <tableColumns count="4">
    <tableColumn id="1" name="Subobjective"/>
    <tableColumn id="2" name="Id"/>
    <tableColumn id="3" name="Description"/>
    <tableColumn id="4" name="Weight" dataDxfId="32" dataCellStyle="Percent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12" name="Table113" displayName="Table113" ref="A2:D8" totalsRowShown="0">
  <autoFilter ref="A2:D8"/>
  <tableColumns count="4">
    <tableColumn id="1" name="Panel"/>
    <tableColumn id="2" name="Id"/>
    <tableColumn id="3" name="Description" dataDxfId="141"/>
    <tableColumn id="4" name="Weight" dataDxfId="140" dataCellStyle="Percent"/>
  </tableColumns>
  <tableStyleInfo name="TableStyleMedium17" showFirstColumn="0" showLastColumn="0" showRowStripes="1" showColumnStripes="0"/>
</table>
</file>

<file path=xl/tables/table50.xml><?xml version="1.0" encoding="utf-8"?>
<table xmlns="http://schemas.openxmlformats.org/spreadsheetml/2006/main" id="70" name="Table243571" displayName="Table243571" ref="Z10:AC14" totalsRowShown="0">
  <autoFilter ref="Z10:AC14"/>
  <tableColumns count="4">
    <tableColumn id="1" name="Subobjective"/>
    <tableColumn id="2" name="Id" dataDxfId="31">
      <calculatedColumnFormula>CONCATENATE($L$12,"-",Table243571[[#This Row],[Subobjective]])</calculatedColumnFormula>
    </tableColumn>
    <tableColumn id="3" name="Description"/>
    <tableColumn id="4" name="Weight" dataDxfId="30" dataCellStyle="Percent"/>
  </tableColumns>
  <tableStyleInfo name="TableStyleLight10" showFirstColumn="0" showLastColumn="0" showRowStripes="1" showColumnStripes="0"/>
</table>
</file>

<file path=xl/tables/table51.xml><?xml version="1.0" encoding="utf-8"?>
<table xmlns="http://schemas.openxmlformats.org/spreadsheetml/2006/main" id="71" name="Table2453672" displayName="Table2453672" ref="Z17:AC22" totalsRowShown="0">
  <autoFilter ref="Z17:AC22"/>
  <tableColumns count="4">
    <tableColumn id="1" name="Subobjective"/>
    <tableColumn id="2" name="Id" dataDxfId="29">
      <calculatedColumnFormula>CONCATENATE($L$22,"-",[1]!Table24[[#This Row],[Subobjective]])</calculatedColumnFormula>
    </tableColumn>
    <tableColumn id="3" name="Description"/>
    <tableColumn id="4" name="Weight" dataDxfId="28" dataCellStyle="Percent"/>
  </tableColumns>
  <tableStyleInfo name="TableStyleLight10" showFirstColumn="0" showLastColumn="0" showRowStripes="1" showColumnStripes="0"/>
</table>
</file>

<file path=xl/tables/table52.xml><?xml version="1.0" encoding="utf-8"?>
<table xmlns="http://schemas.openxmlformats.org/spreadsheetml/2006/main" id="72" name="Table24563773" displayName="Table24563773" ref="Z25:AC30" totalsRowShown="0">
  <autoFilter ref="Z25:AC30"/>
  <tableColumns count="4">
    <tableColumn id="1" name="Subobjective"/>
    <tableColumn id="2" name="Id" dataDxfId="27">
      <calculatedColumnFormula>CONCATENATE($L$22,"-",[1]!Table24[[#This Row],[Subobjective]])</calculatedColumnFormula>
    </tableColumn>
    <tableColumn id="3" name="Description"/>
    <tableColumn id="4" name="Weight" dataDxfId="26" dataCellStyle="Percent"/>
  </tableColumns>
  <tableStyleInfo name="TableStyleLight10" showFirstColumn="0" showLastColumn="0" showRowStripes="1" showColumnStripes="0"/>
</table>
</file>

<file path=xl/tables/table53.xml><?xml version="1.0" encoding="utf-8"?>
<table xmlns="http://schemas.openxmlformats.org/spreadsheetml/2006/main" id="73" name="Table245673874" displayName="Table245673874" ref="Z33:AC38" totalsRowShown="0">
  <autoFilter ref="Z33:AC38"/>
  <tableColumns count="4">
    <tableColumn id="1" name="Subobjective"/>
    <tableColumn id="2" name="Id" dataDxfId="25">
      <calculatedColumnFormula>CONCATENATE($AA$32,"-",Table245673874[[#This Row],[Subobjective]])</calculatedColumnFormula>
    </tableColumn>
    <tableColumn id="3" name="Description"/>
    <tableColumn id="4" name="Weight" dataDxfId="24" dataCellStyle="Percent"/>
  </tableColumns>
  <tableStyleInfo name="TableStyleLight10" showFirstColumn="0" showLastColumn="0" showRowStripes="1" showColumnStripes="0"/>
</table>
</file>

<file path=xl/tables/table54.xml><?xml version="1.0" encoding="utf-8"?>
<table xmlns="http://schemas.openxmlformats.org/spreadsheetml/2006/main" id="74" name="Table2456783975" displayName="Table2456783975" ref="Z41:AC45" totalsRowShown="0">
  <autoFilter ref="Z41:AC45"/>
  <tableColumns count="4">
    <tableColumn id="1" name="Subobjective"/>
    <tableColumn id="2" name="Id" dataDxfId="23">
      <calculatedColumnFormula>CONCATENATE($L$22,"-",[1]!Table24[[#This Row],[Subobjective]])</calculatedColumnFormula>
    </tableColumn>
    <tableColumn id="3" name="Description"/>
    <tableColumn id="4" name="Weight" dataDxfId="22" dataCellStyle="Percent"/>
  </tableColumns>
  <tableStyleInfo name="TableStyleLight10" showFirstColumn="0" showLastColumn="0" showRowStripes="1" showColumnStripes="0"/>
</table>
</file>

<file path=xl/tables/table55.xml><?xml version="1.0" encoding="utf-8"?>
<table xmlns="http://schemas.openxmlformats.org/spreadsheetml/2006/main" id="75" name="Table2456794076" displayName="Table2456794076" ref="Z48:AC53" totalsRowShown="0">
  <autoFilter ref="Z48:AC53"/>
  <tableColumns count="4">
    <tableColumn id="1" name="Subobjective"/>
    <tableColumn id="2" name="Id" dataDxfId="21">
      <calculatedColumnFormula>CONCATENATE($L$22,"-",[1]!Table24[[#This Row],[Subobjective]])</calculatedColumnFormula>
    </tableColumn>
    <tableColumn id="3" name="Description"/>
    <tableColumn id="4" name="Weight" dataDxfId="20" dataCellStyle="Percent"/>
  </tableColumns>
  <tableStyleInfo name="TableStyleLight10" showFirstColumn="0" showLastColumn="0" showRowStripes="1" showColumnStripes="0"/>
</table>
</file>

<file path=xl/tables/table56.xml><?xml version="1.0" encoding="utf-8"?>
<table xmlns="http://schemas.openxmlformats.org/spreadsheetml/2006/main" id="76" name="Table2344177" displayName="Table2344177" ref="AE4:AH26" totalsRowShown="0">
  <autoFilter ref="AE4:AH26"/>
  <tableColumns count="4">
    <tableColumn id="1" name="Subobjective"/>
    <tableColumn id="2" name="Id"/>
    <tableColumn id="3" name="Description"/>
    <tableColumn id="4" name="Weight" dataDxfId="19" dataCellStyle="Percent"/>
  </tableColumns>
  <tableStyleInfo name="TableStyleLight10" showFirstColumn="0" showLastColumn="0" showRowStripes="1" showColumnStripes="0"/>
</table>
</file>

<file path=xl/tables/table57.xml><?xml version="1.0" encoding="utf-8"?>
<table xmlns="http://schemas.openxmlformats.org/spreadsheetml/2006/main" id="77" name="Table24354278" displayName="Table24354278" ref="AE29:AH34" totalsRowShown="0">
  <autoFilter ref="AE29:AH34"/>
  <tableColumns count="4">
    <tableColumn id="1" name="Subobjective"/>
    <tableColumn id="2" name="Id" dataDxfId="18">
      <calculatedColumnFormula>CONCATENATE($L$12,"-",Table24354278[[#This Row],[Subobjective]])</calculatedColumnFormula>
    </tableColumn>
    <tableColumn id="3" name="Description"/>
    <tableColumn id="4" name="Weight" dataDxfId="17" dataCellStyle="Percent"/>
  </tableColumns>
  <tableStyleInfo name="TableStyleLight10" showFirstColumn="0" showLastColumn="0" showRowStripes="1" showColumnStripes="0"/>
</table>
</file>

<file path=xl/tables/table58.xml><?xml version="1.0" encoding="utf-8"?>
<table xmlns="http://schemas.openxmlformats.org/spreadsheetml/2006/main" id="78" name="Table245364379" displayName="Table245364379" ref="AE37:AH42" totalsRowShown="0">
  <autoFilter ref="AE37:AH42"/>
  <tableColumns count="4">
    <tableColumn id="1" name="Subobjective"/>
    <tableColumn id="2" name="Id" dataDxfId="16">
      <calculatedColumnFormula>CONCATENATE($L$22,"-",[1]!Table24[[#This Row],[Subobjective]])</calculatedColumnFormula>
    </tableColumn>
    <tableColumn id="3" name="Description"/>
    <tableColumn id="4" name="Weight" dataDxfId="15" dataCellStyle="Percent"/>
  </tableColumns>
  <tableStyleInfo name="TableStyleLight10" showFirstColumn="0" showLastColumn="0" showRowStripes="1" showColumnStripes="0"/>
</table>
</file>

<file path=xl/tables/table59.xml><?xml version="1.0" encoding="utf-8"?>
<table xmlns="http://schemas.openxmlformats.org/spreadsheetml/2006/main" id="79" name="Table2456374480" displayName="Table2456374480" ref="AE45:AH64" totalsRowShown="0">
  <autoFilter ref="AE45:AH64"/>
  <tableColumns count="4">
    <tableColumn id="1" name="Subobjective"/>
    <tableColumn id="2" name="Id" dataDxfId="14">
      <calculatedColumnFormula>CONCATENATE($L$22,"-",[1]!Table24[[#This Row],[Subobjective]])</calculatedColumnFormula>
    </tableColumn>
    <tableColumn id="3" name="Description"/>
    <tableColumn id="4" name="Weight" dataDxfId="13" dataCellStyle="Percent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13" name="Table114" displayName="Table114" ref="F10:I13" totalsRowShown="0">
  <autoFilter ref="F10:I13"/>
  <tableColumns count="4">
    <tableColumn id="1" name="Objective"/>
    <tableColumn id="2" name="Id"/>
    <tableColumn id="3" name="Description" dataDxfId="139"/>
    <tableColumn id="4" name="Weight" dataDxfId="138" dataCellStyle="Percent"/>
  </tableColumns>
  <tableStyleInfo name="TableStyleMedium17" showFirstColumn="0" showLastColumn="0" showRowStripes="1" showColumnStripes="0"/>
</table>
</file>

<file path=xl/tables/table60.xml><?xml version="1.0" encoding="utf-8"?>
<table xmlns="http://schemas.openxmlformats.org/spreadsheetml/2006/main" id="80" name="Table24567384581" displayName="Table24567384581" ref="AE67:AH72" totalsRowShown="0">
  <autoFilter ref="AE67:AH72"/>
  <tableColumns count="4">
    <tableColumn id="1" name="Subobjective"/>
    <tableColumn id="2" name="Id" dataDxfId="12">
      <calculatedColumnFormula>CONCATENATE($AA$32,"-",Table24567384581[[#This Row],[Subobjective]])</calculatedColumnFormula>
    </tableColumn>
    <tableColumn id="3" name="Description"/>
    <tableColumn id="4" name="Weight" dataDxfId="11" dataCellStyle="Percent"/>
  </tableColumns>
  <tableStyleInfo name="TableStyleLight10" showFirstColumn="0" showLastColumn="0" showRowStripes="1" showColumnStripes="0"/>
</table>
</file>

<file path=xl/tables/table61.xml><?xml version="1.0" encoding="utf-8"?>
<table xmlns="http://schemas.openxmlformats.org/spreadsheetml/2006/main" id="81" name="Table245678394682" displayName="Table245678394682" ref="AE75:AH82" totalsRowShown="0">
  <autoFilter ref="AE75:AH82"/>
  <tableColumns count="4">
    <tableColumn id="1" name="Subobjective"/>
    <tableColumn id="2" name="Id" dataDxfId="10">
      <calculatedColumnFormula>CONCATENATE($L$22,"-",[1]!Table24[[#This Row],[Subobjective]])</calculatedColumnFormula>
    </tableColumn>
    <tableColumn id="3" name="Description"/>
    <tableColumn id="4" name="Weight" dataDxfId="9" dataCellStyle="Percent"/>
  </tableColumns>
  <tableStyleInfo name="TableStyleLight10" showFirstColumn="0" showLastColumn="0" showRowStripes="1" showColumnStripes="0"/>
</table>
</file>

<file path=xl/tables/table62.xml><?xml version="1.0" encoding="utf-8"?>
<table xmlns="http://schemas.openxmlformats.org/spreadsheetml/2006/main" id="82" name="Table2204783" displayName="Table2204783" ref="AJ4:AM8" totalsRowShown="0">
  <autoFilter ref="AJ4:AM8"/>
  <tableColumns count="4">
    <tableColumn id="1" name="Subobjective"/>
    <tableColumn id="2" name="Id"/>
    <tableColumn id="3" name="Description"/>
    <tableColumn id="4" name="Weight" dataDxfId="8" dataCellStyle="Percent"/>
  </tableColumns>
  <tableStyleInfo name="TableStyleLight10" showFirstColumn="0" showLastColumn="0" showRowStripes="1" showColumnStripes="0"/>
</table>
</file>

<file path=xl/tables/table63.xml><?xml version="1.0" encoding="utf-8"?>
<table xmlns="http://schemas.openxmlformats.org/spreadsheetml/2006/main" id="83" name="Table24214884" displayName="Table24214884" ref="AJ11:AM15" totalsRowShown="0">
  <autoFilter ref="AJ11:AM15"/>
  <tableColumns count="4">
    <tableColumn id="1" name="Subobjective"/>
    <tableColumn id="2" name="Id" dataDxfId="7">
      <calculatedColumnFormula>CONCATENATE($L$12,"-",Table24214884[[#This Row],[Subobjective]])</calculatedColumnFormula>
    </tableColumn>
    <tableColumn id="3" name="Description"/>
    <tableColumn id="4" name="Weight" dataDxfId="6" dataCellStyle="Percent"/>
  </tableColumns>
  <tableStyleInfo name="TableStyleLight10" showFirstColumn="0" showLastColumn="0" showRowStripes="1" showColumnStripes="0"/>
</table>
</file>

<file path=xl/tables/table64.xml><?xml version="1.0" encoding="utf-8"?>
<table xmlns="http://schemas.openxmlformats.org/spreadsheetml/2006/main" id="84" name="Table245224985" displayName="Table245224985" ref="AJ18:AM21" totalsRowShown="0">
  <autoFilter ref="AJ18:AM21"/>
  <tableColumns count="4">
    <tableColumn id="1" name="Subobjective"/>
    <tableColumn id="2" name="Id" dataDxfId="5">
      <calculatedColumnFormula>CONCATENATE($L$22,"-",[1]!Table24[[#This Row],[Subobjective]])</calculatedColumnFormula>
    </tableColumn>
    <tableColumn id="3" name="Description"/>
    <tableColumn id="4" name="Weight" dataDxfId="4" dataCellStyle="Percent"/>
  </tableColumns>
  <tableStyleInfo name="TableStyleLight10" showFirstColumn="0" showLastColumn="0" showRowStripes="1" showColumnStripes="0"/>
</table>
</file>

<file path=xl/tables/table65.xml><?xml version="1.0" encoding="utf-8"?>
<table xmlns="http://schemas.openxmlformats.org/spreadsheetml/2006/main" id="85" name="Table2456235086" displayName="Table2456235086" ref="AJ24:AM29" totalsRowShown="0">
  <autoFilter ref="AJ24:AM29"/>
  <tableColumns count="4">
    <tableColumn id="1" name="Subobjective"/>
    <tableColumn id="2" name="Id" dataDxfId="3">
      <calculatedColumnFormula>CONCATENATE($L$22,"-",[1]!Table24[[#This Row],[Subobjective]])</calculatedColumnFormula>
    </tableColumn>
    <tableColumn id="3" name="Description"/>
    <tableColumn id="4" name="Weight" dataDxfId="2" dataCellStyle="Percent"/>
  </tableColumns>
  <tableStyleInfo name="TableStyleLight10" showFirstColumn="0" showLastColumn="0" showRowStripes="1" showColumnStripes="0"/>
</table>
</file>

<file path=xl/tables/table66.xml><?xml version="1.0" encoding="utf-8"?>
<table xmlns="http://schemas.openxmlformats.org/spreadsheetml/2006/main" id="86" name="Table24567245187" displayName="Table24567245187" ref="AJ32:AM34" totalsRowShown="0">
  <autoFilter ref="AJ32:AM34"/>
  <tableColumns count="4">
    <tableColumn id="1" name="Subobjective"/>
    <tableColumn id="2" name="Id" dataDxfId="1">
      <calculatedColumnFormula>CONCATENATE($AK$31,"-",Table24567245187[[#This Row],[Subobjective]])</calculatedColumnFormula>
    </tableColumn>
    <tableColumn id="3" name="Description"/>
    <tableColumn id="4" name="Weight" dataDxfId="0" dataCellStyle="Percent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19" name="Table220" displayName="Table220" ref="P4:S7" totalsRowShown="0">
  <autoFilter ref="P4:S7"/>
  <tableColumns count="4">
    <tableColumn id="1" name="Subobjective"/>
    <tableColumn id="2" name="Id"/>
    <tableColumn id="3" name="Description"/>
    <tableColumn id="4" name="Weight" dataDxfId="137" dataCellStyle="Percent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20" name="Table2421" displayName="Table2421" ref="P10:S13" totalsRowShown="0">
  <autoFilter ref="P10:S13"/>
  <tableColumns count="4">
    <tableColumn id="1" name="Subobjective"/>
    <tableColumn id="2" name="Id" dataDxfId="136">
      <calculatedColumnFormula>CONCATENATE($L$8,"-",Table2421[[#This Row],[Subobjective]])</calculatedColumnFormula>
    </tableColumn>
    <tableColumn id="3" name="Description"/>
    <tableColumn id="4" name="Weight" dataDxfId="135" dataCellStyle="Percent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24" name="Table22025" displayName="Table22025" ref="U4:X6" totalsRowShown="0">
  <autoFilter ref="U4:X6"/>
  <tableColumns count="4">
    <tableColumn id="1" name="Subobjective"/>
    <tableColumn id="2" name="Id"/>
    <tableColumn id="3" name="Description"/>
    <tableColumn id="4" name="Weight" dataDxfId="134" dataCellStyle="Percen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2.xml"/><Relationship Id="rId13" Type="http://schemas.openxmlformats.org/officeDocument/2006/relationships/table" Target="../tables/table37.xml"/><Relationship Id="rId18" Type="http://schemas.openxmlformats.org/officeDocument/2006/relationships/table" Target="../tables/table42.xml"/><Relationship Id="rId26" Type="http://schemas.openxmlformats.org/officeDocument/2006/relationships/table" Target="../tables/table50.xml"/><Relationship Id="rId39" Type="http://schemas.openxmlformats.org/officeDocument/2006/relationships/table" Target="../tables/table63.xml"/><Relationship Id="rId3" Type="http://schemas.openxmlformats.org/officeDocument/2006/relationships/table" Target="../tables/table27.xml"/><Relationship Id="rId21" Type="http://schemas.openxmlformats.org/officeDocument/2006/relationships/table" Target="../tables/table45.xml"/><Relationship Id="rId34" Type="http://schemas.openxmlformats.org/officeDocument/2006/relationships/table" Target="../tables/table58.xml"/><Relationship Id="rId42" Type="http://schemas.openxmlformats.org/officeDocument/2006/relationships/table" Target="../tables/table66.xml"/><Relationship Id="rId7" Type="http://schemas.openxmlformats.org/officeDocument/2006/relationships/table" Target="../tables/table31.xml"/><Relationship Id="rId12" Type="http://schemas.openxmlformats.org/officeDocument/2006/relationships/table" Target="../tables/table36.xml"/><Relationship Id="rId17" Type="http://schemas.openxmlformats.org/officeDocument/2006/relationships/table" Target="../tables/table41.xml"/><Relationship Id="rId25" Type="http://schemas.openxmlformats.org/officeDocument/2006/relationships/table" Target="../tables/table49.xml"/><Relationship Id="rId33" Type="http://schemas.openxmlformats.org/officeDocument/2006/relationships/table" Target="../tables/table57.xml"/><Relationship Id="rId38" Type="http://schemas.openxmlformats.org/officeDocument/2006/relationships/table" Target="../tables/table62.xml"/><Relationship Id="rId2" Type="http://schemas.openxmlformats.org/officeDocument/2006/relationships/table" Target="../tables/table26.xml"/><Relationship Id="rId16" Type="http://schemas.openxmlformats.org/officeDocument/2006/relationships/table" Target="../tables/table40.xml"/><Relationship Id="rId20" Type="http://schemas.openxmlformats.org/officeDocument/2006/relationships/table" Target="../tables/table44.xml"/><Relationship Id="rId29" Type="http://schemas.openxmlformats.org/officeDocument/2006/relationships/table" Target="../tables/table53.xml"/><Relationship Id="rId41" Type="http://schemas.openxmlformats.org/officeDocument/2006/relationships/table" Target="../tables/table65.xml"/><Relationship Id="rId1" Type="http://schemas.openxmlformats.org/officeDocument/2006/relationships/table" Target="../tables/table25.xml"/><Relationship Id="rId6" Type="http://schemas.openxmlformats.org/officeDocument/2006/relationships/table" Target="../tables/table30.xml"/><Relationship Id="rId11" Type="http://schemas.openxmlformats.org/officeDocument/2006/relationships/table" Target="../tables/table35.xml"/><Relationship Id="rId24" Type="http://schemas.openxmlformats.org/officeDocument/2006/relationships/table" Target="../tables/table48.xml"/><Relationship Id="rId32" Type="http://schemas.openxmlformats.org/officeDocument/2006/relationships/table" Target="../tables/table56.xml"/><Relationship Id="rId37" Type="http://schemas.openxmlformats.org/officeDocument/2006/relationships/table" Target="../tables/table61.xml"/><Relationship Id="rId40" Type="http://schemas.openxmlformats.org/officeDocument/2006/relationships/table" Target="../tables/table64.xml"/><Relationship Id="rId5" Type="http://schemas.openxmlformats.org/officeDocument/2006/relationships/table" Target="../tables/table29.xml"/><Relationship Id="rId15" Type="http://schemas.openxmlformats.org/officeDocument/2006/relationships/table" Target="../tables/table39.xml"/><Relationship Id="rId23" Type="http://schemas.openxmlformats.org/officeDocument/2006/relationships/table" Target="../tables/table47.xml"/><Relationship Id="rId28" Type="http://schemas.openxmlformats.org/officeDocument/2006/relationships/table" Target="../tables/table52.xml"/><Relationship Id="rId36" Type="http://schemas.openxmlformats.org/officeDocument/2006/relationships/table" Target="../tables/table60.xml"/><Relationship Id="rId10" Type="http://schemas.openxmlformats.org/officeDocument/2006/relationships/table" Target="../tables/table34.xml"/><Relationship Id="rId19" Type="http://schemas.openxmlformats.org/officeDocument/2006/relationships/table" Target="../tables/table43.xml"/><Relationship Id="rId31" Type="http://schemas.openxmlformats.org/officeDocument/2006/relationships/table" Target="../tables/table55.xml"/><Relationship Id="rId4" Type="http://schemas.openxmlformats.org/officeDocument/2006/relationships/table" Target="../tables/table28.xml"/><Relationship Id="rId9" Type="http://schemas.openxmlformats.org/officeDocument/2006/relationships/table" Target="../tables/table33.xml"/><Relationship Id="rId14" Type="http://schemas.openxmlformats.org/officeDocument/2006/relationships/table" Target="../tables/table38.xml"/><Relationship Id="rId22" Type="http://schemas.openxmlformats.org/officeDocument/2006/relationships/table" Target="../tables/table46.xml"/><Relationship Id="rId27" Type="http://schemas.openxmlformats.org/officeDocument/2006/relationships/table" Target="../tables/table51.xml"/><Relationship Id="rId30" Type="http://schemas.openxmlformats.org/officeDocument/2006/relationships/table" Target="../tables/table54.xml"/><Relationship Id="rId35" Type="http://schemas.openxmlformats.org/officeDocument/2006/relationships/table" Target="../tables/table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83"/>
  <sheetViews>
    <sheetView tabSelected="1" zoomScale="85" zoomScaleNormal="85" workbookViewId="0">
      <selection activeCell="M27" sqref="M27"/>
    </sheetView>
  </sheetViews>
  <sheetFormatPr defaultRowHeight="15" x14ac:dyDescent="0.25"/>
  <cols>
    <col min="1" max="1" width="14.85546875" style="29" bestFit="1" customWidth="1"/>
    <col min="2" max="2" width="6.85546875" style="29" bestFit="1" customWidth="1"/>
    <col min="3" max="3" width="20.85546875" style="29" bestFit="1" customWidth="1"/>
    <col min="4" max="4" width="9.85546875" style="29" bestFit="1" customWidth="1"/>
    <col min="5" max="5" width="5" style="29" customWidth="1"/>
    <col min="6" max="6" width="4.85546875" style="29" customWidth="1"/>
    <col min="7" max="7" width="7.28515625" style="29" customWidth="1"/>
    <col min="8" max="8" width="38.85546875" style="29" bestFit="1" customWidth="1"/>
    <col min="9" max="9" width="8.42578125" style="29" customWidth="1"/>
    <col min="10" max="10" width="4.140625" style="29" customWidth="1"/>
    <col min="11" max="11" width="8.140625" customWidth="1"/>
    <col min="12" max="12" width="8.85546875" bestFit="1" customWidth="1"/>
    <col min="13" max="13" width="39.7109375" bestFit="1" customWidth="1"/>
    <col min="14" max="14" width="8.7109375" customWidth="1"/>
    <col min="15" max="15" width="3.7109375" customWidth="1"/>
    <col min="16" max="16" width="7.85546875" customWidth="1"/>
    <col min="17" max="17" width="7.140625" customWidth="1"/>
    <col min="18" max="18" width="46.85546875" customWidth="1"/>
    <col min="19" max="19" width="9.140625" customWidth="1"/>
    <col min="20" max="20" width="5" customWidth="1"/>
    <col min="21" max="21" width="12.5703125" customWidth="1"/>
    <col min="22" max="22" width="8.28515625" bestFit="1" customWidth="1"/>
    <col min="23" max="23" width="44.28515625" bestFit="1" customWidth="1"/>
    <col min="24" max="24" width="12" bestFit="1" customWidth="1"/>
    <col min="25" max="25" width="3.42578125" customWidth="1"/>
    <col min="26" max="26" width="8.7109375" customWidth="1"/>
    <col min="27" max="27" width="9.28515625" bestFit="1" customWidth="1"/>
    <col min="28" max="28" width="37.140625" bestFit="1" customWidth="1"/>
    <col min="29" max="29" width="12" bestFit="1" customWidth="1"/>
    <col min="30" max="30" width="3" customWidth="1"/>
    <col min="31" max="31" width="13" customWidth="1"/>
    <col min="32" max="32" width="8.28515625" bestFit="1" customWidth="1"/>
    <col min="33" max="33" width="36" bestFit="1" customWidth="1"/>
    <col min="34" max="34" width="12" bestFit="1" customWidth="1"/>
  </cols>
  <sheetData>
    <row r="1" spans="1:34" s="26" customFormat="1" ht="51.75" customHeight="1" x14ac:dyDescent="0.25">
      <c r="A1" s="59" t="s">
        <v>380</v>
      </c>
      <c r="B1" s="60"/>
      <c r="C1" s="60"/>
      <c r="D1" s="61"/>
      <c r="E1" s="28"/>
      <c r="F1" s="59" t="s">
        <v>381</v>
      </c>
      <c r="G1" s="60"/>
      <c r="H1" s="60"/>
      <c r="I1" s="61"/>
      <c r="J1" s="31"/>
      <c r="K1" s="62" t="s">
        <v>382</v>
      </c>
      <c r="L1" s="62"/>
      <c r="M1" s="62"/>
      <c r="N1" s="62"/>
    </row>
    <row r="2" spans="1:34" x14ac:dyDescent="0.25">
      <c r="A2" s="32" t="s">
        <v>245</v>
      </c>
      <c r="B2" s="33" t="s">
        <v>235</v>
      </c>
      <c r="C2" s="34" t="s">
        <v>236</v>
      </c>
      <c r="D2" s="35" t="s">
        <v>237</v>
      </c>
      <c r="F2" s="63" t="str">
        <f>CONCATENATE($A$3," panel")</f>
        <v>Weather panel</v>
      </c>
      <c r="G2" s="64"/>
      <c r="H2" s="64"/>
      <c r="I2" s="65"/>
      <c r="J2" s="30"/>
      <c r="K2" s="66" t="str">
        <f>F2</f>
        <v>Weather panel</v>
      </c>
      <c r="L2" s="66"/>
      <c r="M2" s="66"/>
      <c r="N2" s="66"/>
      <c r="P2" s="66" t="str">
        <f>F9</f>
        <v>Climate panel</v>
      </c>
      <c r="Q2" s="66"/>
      <c r="R2" s="66"/>
      <c r="S2" s="66"/>
      <c r="U2" s="66" t="str">
        <f>F15</f>
        <v>Ecosystems panel</v>
      </c>
      <c r="V2" s="66"/>
      <c r="W2" s="66"/>
      <c r="X2" s="66"/>
      <c r="Z2" s="66" t="str">
        <f>F21</f>
        <v>Water panel</v>
      </c>
      <c r="AA2" s="66"/>
      <c r="AB2" s="66"/>
      <c r="AC2" s="66"/>
      <c r="AE2" s="66" t="str">
        <f>F29</f>
        <v>Applications panel</v>
      </c>
      <c r="AF2" s="66"/>
      <c r="AG2" s="66"/>
      <c r="AH2" s="66"/>
    </row>
    <row r="3" spans="1:34" x14ac:dyDescent="0.25">
      <c r="A3" s="32" t="s">
        <v>246</v>
      </c>
      <c r="B3" s="33" t="s">
        <v>549</v>
      </c>
      <c r="C3" s="36" t="s">
        <v>246</v>
      </c>
      <c r="D3" s="35">
        <v>0.2</v>
      </c>
      <c r="F3" s="32" t="s">
        <v>0</v>
      </c>
      <c r="G3" s="33" t="s">
        <v>235</v>
      </c>
      <c r="H3" s="34" t="s">
        <v>236</v>
      </c>
      <c r="I3" s="35" t="s">
        <v>237</v>
      </c>
      <c r="J3" s="30"/>
      <c r="K3" s="24" t="s">
        <v>238</v>
      </c>
      <c r="L3" s="24" t="str">
        <f>G4</f>
        <v>WEA1</v>
      </c>
      <c r="M3" s="24" t="str">
        <f>H4</f>
        <v>Initialization of NWP models</v>
      </c>
      <c r="N3" s="24"/>
      <c r="P3" s="24" t="s">
        <v>238</v>
      </c>
      <c r="Q3" s="24" t="str">
        <f>G11</f>
        <v>CLI1</v>
      </c>
      <c r="R3" s="24" t="str">
        <f>H11</f>
        <v>Boundary conditions for climate models</v>
      </c>
      <c r="S3" s="24"/>
      <c r="U3" s="24" t="s">
        <v>238</v>
      </c>
      <c r="V3" s="24" t="str">
        <f>G17</f>
        <v>ECO1</v>
      </c>
      <c r="W3" s="24" t="str">
        <f>H17</f>
        <v>Net carbon flux in boreal landscapes</v>
      </c>
      <c r="X3" s="24"/>
      <c r="Z3" s="24" t="s">
        <v>238</v>
      </c>
      <c r="AA3" s="24" t="str">
        <f>G23</f>
        <v>WAT1</v>
      </c>
      <c r="AB3" s="24" t="str">
        <f>H23</f>
        <v>Estimation of runoff-EVT</v>
      </c>
      <c r="AC3" s="24"/>
      <c r="AE3" s="24" t="s">
        <v>238</v>
      </c>
      <c r="AF3" s="24" t="str">
        <f>G31</f>
        <v>HEA1</v>
      </c>
      <c r="AG3" s="24" t="str">
        <f>H31</f>
        <v>Heat Stress and Drought</v>
      </c>
      <c r="AH3" s="24"/>
    </row>
    <row r="4" spans="1:34" x14ac:dyDescent="0.25">
      <c r="A4" s="32" t="s">
        <v>247</v>
      </c>
      <c r="B4" s="33" t="s">
        <v>550</v>
      </c>
      <c r="C4" s="34" t="s">
        <v>247</v>
      </c>
      <c r="D4" s="35">
        <v>0.2</v>
      </c>
      <c r="F4" s="32">
        <v>1</v>
      </c>
      <c r="G4" s="33" t="str">
        <f>CONCATENATE($B$3,Table1[[#This Row],[Objective]])</f>
        <v>WEA1</v>
      </c>
      <c r="H4" s="36" t="s">
        <v>628</v>
      </c>
      <c r="I4" s="35">
        <v>0.6</v>
      </c>
      <c r="J4" s="30"/>
      <c r="K4" t="s">
        <v>1</v>
      </c>
      <c r="L4" t="s">
        <v>235</v>
      </c>
      <c r="M4" t="s">
        <v>236</v>
      </c>
      <c r="N4" t="s">
        <v>237</v>
      </c>
      <c r="P4" t="s">
        <v>1</v>
      </c>
      <c r="Q4" t="s">
        <v>235</v>
      </c>
      <c r="R4" t="s">
        <v>236</v>
      </c>
      <c r="S4" t="s">
        <v>237</v>
      </c>
      <c r="U4" t="s">
        <v>1</v>
      </c>
      <c r="V4" t="s">
        <v>235</v>
      </c>
      <c r="W4" t="s">
        <v>236</v>
      </c>
      <c r="X4" t="s">
        <v>237</v>
      </c>
      <c r="Z4" t="s">
        <v>1</v>
      </c>
      <c r="AA4" t="s">
        <v>235</v>
      </c>
      <c r="AB4" t="s">
        <v>236</v>
      </c>
      <c r="AC4" t="s">
        <v>237</v>
      </c>
      <c r="AE4" t="s">
        <v>1</v>
      </c>
      <c r="AF4" t="s">
        <v>235</v>
      </c>
      <c r="AG4" t="s">
        <v>236</v>
      </c>
      <c r="AH4" t="s">
        <v>237</v>
      </c>
    </row>
    <row r="5" spans="1:34" x14ac:dyDescent="0.25">
      <c r="A5" s="32" t="s">
        <v>625</v>
      </c>
      <c r="B5" s="33" t="s">
        <v>253</v>
      </c>
      <c r="C5" s="34" t="s">
        <v>255</v>
      </c>
      <c r="D5" s="35">
        <v>0.2</v>
      </c>
      <c r="F5" s="32">
        <v>2</v>
      </c>
      <c r="G5" s="33" t="str">
        <f>CONCATENATE($B$3,Table1[[#This Row],[Objective]])</f>
        <v>WEA2</v>
      </c>
      <c r="H5" s="36" t="s">
        <v>630</v>
      </c>
      <c r="I5" s="47">
        <v>0.2</v>
      </c>
      <c r="J5" s="30"/>
      <c r="K5">
        <v>1</v>
      </c>
      <c r="L5" t="str">
        <f>CONCATENATE($L$3,"-",Table2[[#This Row],[Subobjective]])</f>
        <v>WEA1-1</v>
      </c>
      <c r="M5" t="s">
        <v>173</v>
      </c>
      <c r="N5" s="9">
        <v>1</v>
      </c>
      <c r="P5">
        <v>1</v>
      </c>
      <c r="Q5" t="str">
        <f>CONCATENATE($Q$3,"-",Table220[[#This Row],[Subobjective]])</f>
        <v>CLI1-1</v>
      </c>
      <c r="R5" t="s">
        <v>173</v>
      </c>
      <c r="S5" s="9">
        <v>0.75</v>
      </c>
      <c r="U5">
        <v>1</v>
      </c>
      <c r="V5" t="str">
        <f>CONCATENATE($V$3,"-",Table22025[[#This Row],[Subobjective]])</f>
        <v>ECO1-1</v>
      </c>
      <c r="W5" t="s">
        <v>640</v>
      </c>
      <c r="X5" s="9">
        <v>1</v>
      </c>
      <c r="Z5">
        <v>1</v>
      </c>
      <c r="AA5" t="str">
        <f>CONCATENATE($AA$3,"-",Table234[[#This Row],[Subobjective]])</f>
        <v>WAT1-1</v>
      </c>
      <c r="AB5" t="s">
        <v>91</v>
      </c>
      <c r="AC5" s="9">
        <f>0.5</f>
        <v>0.5</v>
      </c>
      <c r="AE5">
        <v>1</v>
      </c>
      <c r="AF5" t="str">
        <f>CONCATENATE($AF$3,"-",Table23441[[#This Row],[Subobjective]])</f>
        <v>HEA1-1</v>
      </c>
      <c r="AG5" t="s">
        <v>173</v>
      </c>
      <c r="AH5" s="9">
        <v>1</v>
      </c>
    </row>
    <row r="6" spans="1:34" x14ac:dyDescent="0.25">
      <c r="A6" s="32" t="s">
        <v>249</v>
      </c>
      <c r="B6" s="33" t="s">
        <v>551</v>
      </c>
      <c r="C6" s="34" t="s">
        <v>249</v>
      </c>
      <c r="D6" s="35">
        <v>0.2</v>
      </c>
      <c r="F6" s="32">
        <v>3</v>
      </c>
      <c r="G6" s="33" t="str">
        <f>CONCATENATE($B$3,Table1[[#This Row],[Objective]])</f>
        <v>WEA3</v>
      </c>
      <c r="H6" s="36" t="s">
        <v>631</v>
      </c>
      <c r="I6" s="47">
        <v>0.2</v>
      </c>
      <c r="J6" s="30"/>
      <c r="N6" s="25">
        <f>SUM(N5:N5)</f>
        <v>1</v>
      </c>
      <c r="P6">
        <v>2</v>
      </c>
      <c r="Q6" t="str">
        <f>CONCATENATE($Q$3,"-",Table220[[#This Row],[Subobjective]])</f>
        <v>CLI1-2</v>
      </c>
      <c r="R6" t="s">
        <v>638</v>
      </c>
      <c r="S6" s="9">
        <v>0.25</v>
      </c>
      <c r="X6" s="25">
        <f>SUM(X5:X5)</f>
        <v>1</v>
      </c>
      <c r="Z6">
        <v>2</v>
      </c>
      <c r="AA6" t="str">
        <f>CONCATENATE($AA$3,"-",Table234[[#This Row],[Subobjective]])</f>
        <v>WAT1-2</v>
      </c>
      <c r="AB6" t="s">
        <v>640</v>
      </c>
      <c r="AC6" s="9">
        <f>0.5</f>
        <v>0.5</v>
      </c>
      <c r="AH6" s="25">
        <f>SUM(AH5:AH5)</f>
        <v>1</v>
      </c>
    </row>
    <row r="7" spans="1:34" ht="15.75" thickBot="1" x14ac:dyDescent="0.3">
      <c r="A7" s="32" t="s">
        <v>528</v>
      </c>
      <c r="B7" s="33" t="s">
        <v>552</v>
      </c>
      <c r="C7" s="34" t="s">
        <v>250</v>
      </c>
      <c r="D7" s="35">
        <v>0.2</v>
      </c>
      <c r="F7" s="37"/>
      <c r="G7" s="38"/>
      <c r="H7" s="39"/>
      <c r="I7" s="40">
        <f>SUM(I4:I6)</f>
        <v>1</v>
      </c>
      <c r="J7" s="30"/>
      <c r="K7" s="29"/>
      <c r="L7" s="29"/>
      <c r="M7" s="29"/>
      <c r="N7" s="46"/>
      <c r="S7" s="25">
        <f>SUM(S5:S6)</f>
        <v>1</v>
      </c>
      <c r="X7" s="25"/>
      <c r="AC7" s="25">
        <f>SUM(AC5:AC6)</f>
        <v>1</v>
      </c>
      <c r="AH7" s="25"/>
    </row>
    <row r="8" spans="1:34" ht="15.75" thickBot="1" x14ac:dyDescent="0.3">
      <c r="A8" s="37"/>
      <c r="B8" s="38"/>
      <c r="C8" s="39"/>
      <c r="D8" s="40">
        <f>SUM(D3:D7)</f>
        <v>1</v>
      </c>
      <c r="I8" s="30"/>
      <c r="J8" s="30"/>
      <c r="K8" s="24" t="s">
        <v>239</v>
      </c>
      <c r="L8" s="24" t="str">
        <f>G5</f>
        <v>WEA2</v>
      </c>
      <c r="M8" s="24" t="str">
        <f>H5</f>
        <v>River forecast streamflow models</v>
      </c>
      <c r="N8" s="24"/>
      <c r="S8" s="25"/>
      <c r="U8" s="24" t="s">
        <v>239</v>
      </c>
      <c r="V8" s="24" t="str">
        <f>G18</f>
        <v>ECO2</v>
      </c>
      <c r="W8" s="24" t="str">
        <f>H18</f>
        <v>Carbon net ecosystem exchange</v>
      </c>
      <c r="X8" s="24"/>
      <c r="AC8" s="25"/>
      <c r="AE8" s="24" t="s">
        <v>239</v>
      </c>
      <c r="AF8" s="24" t="str">
        <f>G32</f>
        <v>HEA2</v>
      </c>
      <c r="AG8" s="24" t="str">
        <f>H32</f>
        <v>Agriculture productivity</v>
      </c>
      <c r="AH8" s="24"/>
    </row>
    <row r="9" spans="1:34" x14ac:dyDescent="0.25">
      <c r="F9" s="67" t="str">
        <f>CONCATENATE($A$4," panel")</f>
        <v>Climate panel</v>
      </c>
      <c r="G9" s="68"/>
      <c r="H9" s="68"/>
      <c r="I9" s="69"/>
      <c r="J9" s="30"/>
      <c r="K9" t="s">
        <v>1</v>
      </c>
      <c r="L9" t="s">
        <v>235</v>
      </c>
      <c r="M9" t="s">
        <v>236</v>
      </c>
      <c r="N9" t="s">
        <v>237</v>
      </c>
      <c r="P9" s="24" t="s">
        <v>239</v>
      </c>
      <c r="Q9" s="24" t="str">
        <f>G12</f>
        <v>CLI2</v>
      </c>
      <c r="R9" s="24" t="str">
        <f>H12</f>
        <v>Ocean thermohaline circulation</v>
      </c>
      <c r="S9" s="24"/>
      <c r="U9" t="s">
        <v>1</v>
      </c>
      <c r="V9" t="s">
        <v>235</v>
      </c>
      <c r="W9" t="s">
        <v>236</v>
      </c>
      <c r="X9" t="s">
        <v>237</v>
      </c>
      <c r="Z9" s="24" t="s">
        <v>239</v>
      </c>
      <c r="AA9" s="24" t="str">
        <f>G24</f>
        <v>WAT2</v>
      </c>
      <c r="AB9" s="24" t="str">
        <f>H24</f>
        <v>Estimation of precipitation</v>
      </c>
      <c r="AC9" s="24"/>
      <c r="AE9" t="s">
        <v>1</v>
      </c>
      <c r="AF9" t="s">
        <v>235</v>
      </c>
      <c r="AG9" t="s">
        <v>236</v>
      </c>
      <c r="AH9" t="s">
        <v>237</v>
      </c>
    </row>
    <row r="10" spans="1:34" x14ac:dyDescent="0.25">
      <c r="F10" s="32" t="s">
        <v>0</v>
      </c>
      <c r="G10" s="33" t="s">
        <v>235</v>
      </c>
      <c r="H10" s="34" t="s">
        <v>236</v>
      </c>
      <c r="I10" s="35" t="s">
        <v>237</v>
      </c>
      <c r="J10" s="30"/>
      <c r="K10">
        <v>1</v>
      </c>
      <c r="L10" s="23" t="str">
        <f>CONCATENATE($L$8,"-",Table24[[#This Row],[Subobjective]])</f>
        <v>WEA2-1</v>
      </c>
      <c r="M10" t="s">
        <v>173</v>
      </c>
      <c r="N10" s="9">
        <v>1</v>
      </c>
      <c r="P10" t="s">
        <v>1</v>
      </c>
      <c r="Q10" t="s">
        <v>235</v>
      </c>
      <c r="R10" t="s">
        <v>236</v>
      </c>
      <c r="S10" t="s">
        <v>237</v>
      </c>
      <c r="U10">
        <v>1</v>
      </c>
      <c r="V10" s="23" t="str">
        <f>CONCATENATE($V$8,"-",Table242126[[#This Row],[Subobjective]])</f>
        <v>ECO2-1</v>
      </c>
      <c r="W10" t="s">
        <v>704</v>
      </c>
      <c r="X10" s="9">
        <v>1</v>
      </c>
      <c r="Z10" t="s">
        <v>1</v>
      </c>
      <c r="AA10" t="s">
        <v>235</v>
      </c>
      <c r="AB10" t="s">
        <v>236</v>
      </c>
      <c r="AC10" t="s">
        <v>237</v>
      </c>
      <c r="AE10">
        <v>1</v>
      </c>
      <c r="AF10" s="23" t="str">
        <f>CONCATENATE($AF$8,"-",Table243542[[#This Row],[Subobjective]])</f>
        <v>HEA2-1</v>
      </c>
      <c r="AG10" t="s">
        <v>173</v>
      </c>
      <c r="AH10" s="9">
        <v>1</v>
      </c>
    </row>
    <row r="11" spans="1:34" x14ac:dyDescent="0.25">
      <c r="F11" s="32">
        <v>1</v>
      </c>
      <c r="G11" s="33" t="str">
        <f>CONCATENATE($B$4,Table114[[#This Row],[Objective]])</f>
        <v>CLI1</v>
      </c>
      <c r="H11" s="36" t="s">
        <v>629</v>
      </c>
      <c r="I11" s="35">
        <v>0.8</v>
      </c>
      <c r="J11" s="30"/>
      <c r="L11" s="23"/>
      <c r="N11" s="25">
        <f>SUM(N10:N10)</f>
        <v>1</v>
      </c>
      <c r="P11">
        <v>1</v>
      </c>
      <c r="Q11" s="23" t="str">
        <f>CONCATENATE($Q$9,"-",Table2421[[#This Row],[Subobjective]])</f>
        <v>CLI2-1</v>
      </c>
      <c r="R11" t="s">
        <v>637</v>
      </c>
      <c r="S11" s="9">
        <v>0.5</v>
      </c>
      <c r="V11" s="23"/>
      <c r="X11" s="25">
        <f>SUM(X10:X10)</f>
        <v>1</v>
      </c>
      <c r="Z11">
        <v>1</v>
      </c>
      <c r="AA11" s="23" t="str">
        <f>CONCATENATE($AA$9,"-",Table2435[[#This Row],[Subobjective]])</f>
        <v>WAT2-1</v>
      </c>
      <c r="AB11" t="s">
        <v>705</v>
      </c>
      <c r="AC11" s="9">
        <v>1</v>
      </c>
      <c r="AF11" s="23"/>
      <c r="AH11" s="25">
        <f>SUM(AH10:AH10)</f>
        <v>1</v>
      </c>
    </row>
    <row r="12" spans="1:34" x14ac:dyDescent="0.25">
      <c r="F12" s="32">
        <v>2</v>
      </c>
      <c r="G12" s="33" t="str">
        <f>CONCATENATE($B$4,Table114[[#This Row],[Objective]])</f>
        <v>CLI2</v>
      </c>
      <c r="H12" s="34" t="s">
        <v>633</v>
      </c>
      <c r="I12" s="35">
        <v>0.2</v>
      </c>
      <c r="J12" s="30"/>
      <c r="K12" s="29"/>
      <c r="L12" s="29"/>
      <c r="M12" s="29"/>
      <c r="N12" s="29"/>
      <c r="P12">
        <v>2</v>
      </c>
      <c r="Q12" s="23" t="str">
        <f>CONCATENATE($Q$9,"-",Table2421[[#This Row],[Subobjective]])</f>
        <v>CLI2-2</v>
      </c>
      <c r="R12" t="s">
        <v>46</v>
      </c>
      <c r="S12" s="9">
        <v>0.5</v>
      </c>
      <c r="AA12" s="23"/>
      <c r="AC12" s="25">
        <f>SUM(AC11:AC11)</f>
        <v>1</v>
      </c>
    </row>
    <row r="13" spans="1:34" ht="15.75" thickBot="1" x14ac:dyDescent="0.3">
      <c r="F13" s="37"/>
      <c r="G13" s="38"/>
      <c r="H13" s="39"/>
      <c r="I13" s="40">
        <f>SUM(I11:I12)</f>
        <v>1</v>
      </c>
      <c r="J13" s="30"/>
      <c r="K13" s="24" t="s">
        <v>240</v>
      </c>
      <c r="L13" s="24" t="str">
        <f>G6</f>
        <v>WEA3</v>
      </c>
      <c r="M13" s="24" t="str">
        <f>H6</f>
        <v>River forecast flash flood models</v>
      </c>
      <c r="N13" s="24"/>
      <c r="Q13" s="23"/>
      <c r="S13" s="25">
        <f>SUM(S11:S12)</f>
        <v>1</v>
      </c>
      <c r="AE13" s="24" t="s">
        <v>240</v>
      </c>
      <c r="AF13" s="24" t="str">
        <f>G33</f>
        <v>HEA3</v>
      </c>
      <c r="AG13" s="24" t="str">
        <f>H33</f>
        <v>Flood monitoring</v>
      </c>
      <c r="AH13" s="24"/>
    </row>
    <row r="14" spans="1:34" ht="15.75" thickBot="1" x14ac:dyDescent="0.3">
      <c r="I14" s="30"/>
      <c r="J14" s="30"/>
      <c r="K14" t="s">
        <v>1</v>
      </c>
      <c r="L14" t="s">
        <v>235</v>
      </c>
      <c r="M14" t="s">
        <v>236</v>
      </c>
      <c r="N14" t="s">
        <v>237</v>
      </c>
      <c r="Z14" s="24" t="s">
        <v>240</v>
      </c>
      <c r="AA14" s="24" t="str">
        <f>G25</f>
        <v>WAT3</v>
      </c>
      <c r="AB14" s="24" t="str">
        <f>H25</f>
        <v>Snow and cold land processes</v>
      </c>
      <c r="AC14" s="24"/>
      <c r="AE14" t="s">
        <v>1</v>
      </c>
      <c r="AF14" t="s">
        <v>235</v>
      </c>
      <c r="AG14" t="s">
        <v>236</v>
      </c>
      <c r="AH14" t="s">
        <v>237</v>
      </c>
    </row>
    <row r="15" spans="1:34" x14ac:dyDescent="0.25">
      <c r="F15" s="67" t="str">
        <f>CONCATENATE($A$5," panel")</f>
        <v>Ecosystems panel</v>
      </c>
      <c r="G15" s="68"/>
      <c r="H15" s="68"/>
      <c r="I15" s="69"/>
      <c r="J15" s="30"/>
      <c r="K15">
        <v>1</v>
      </c>
      <c r="L15" s="23" t="str">
        <f>CONCATENATE($L$13,"-",Table245[[#This Row],[Subobjective]])</f>
        <v>WEA3-1</v>
      </c>
      <c r="M15" t="s">
        <v>173</v>
      </c>
      <c r="N15" s="9">
        <v>1</v>
      </c>
      <c r="Z15" t="s">
        <v>1</v>
      </c>
      <c r="AA15" t="s">
        <v>235</v>
      </c>
      <c r="AB15" t="s">
        <v>236</v>
      </c>
      <c r="AC15" t="s">
        <v>237</v>
      </c>
      <c r="AE15">
        <v>1</v>
      </c>
      <c r="AF15" s="23" t="str">
        <f>CONCATENATE($AF$13,"-",Table2453643[[#This Row],[Subobjective]])</f>
        <v>HEA3-1</v>
      </c>
      <c r="AG15" t="s">
        <v>173</v>
      </c>
      <c r="AH15" s="9">
        <v>1</v>
      </c>
    </row>
    <row r="16" spans="1:34" x14ac:dyDescent="0.25">
      <c r="A16"/>
      <c r="B16"/>
      <c r="C16"/>
      <c r="D16"/>
      <c r="F16" s="32" t="s">
        <v>0</v>
      </c>
      <c r="G16" s="33" t="s">
        <v>235</v>
      </c>
      <c r="H16" s="34" t="s">
        <v>236</v>
      </c>
      <c r="I16" s="35" t="s">
        <v>237</v>
      </c>
      <c r="J16" s="30"/>
      <c r="L16" s="23"/>
      <c r="N16" s="25">
        <f>SUM(N15:N15)</f>
        <v>1</v>
      </c>
      <c r="Z16">
        <v>1</v>
      </c>
      <c r="AA16" s="23" t="str">
        <f>CONCATENATE($AA$14,"-",Table24536[[#This Row],[Subobjective]])</f>
        <v>WAT3-1</v>
      </c>
      <c r="AB16" t="s">
        <v>98</v>
      </c>
      <c r="AC16" s="9">
        <v>1</v>
      </c>
      <c r="AF16" s="23"/>
      <c r="AH16" s="25">
        <f>SUM(AH15:AH15)</f>
        <v>1</v>
      </c>
    </row>
    <row r="17" spans="1:34" x14ac:dyDescent="0.25">
      <c r="A17"/>
      <c r="B17"/>
      <c r="C17"/>
      <c r="D17"/>
      <c r="E17"/>
      <c r="F17" s="32">
        <v>1</v>
      </c>
      <c r="G17" s="33" t="str">
        <f>CONCATENATE($B$5,Table11429[[#This Row],[Objective]])</f>
        <v>ECO1</v>
      </c>
      <c r="H17" s="36" t="s">
        <v>632</v>
      </c>
      <c r="I17" s="35">
        <v>0.75</v>
      </c>
      <c r="J17" s="30"/>
      <c r="AA17" s="23"/>
      <c r="AC17" s="25">
        <f>SUM(AC16:AC16)</f>
        <v>1</v>
      </c>
    </row>
    <row r="18" spans="1:34" x14ac:dyDescent="0.25">
      <c r="A18"/>
      <c r="B18"/>
      <c r="C18"/>
      <c r="D18"/>
      <c r="E18"/>
      <c r="F18" s="32">
        <v>2</v>
      </c>
      <c r="G18" s="33" t="str">
        <f>CONCATENATE($B$5,Table11429[[#This Row],[Objective]])</f>
        <v>ECO2</v>
      </c>
      <c r="H18" s="36" t="s">
        <v>639</v>
      </c>
      <c r="I18" s="47">
        <v>0.25</v>
      </c>
      <c r="J18" s="30"/>
      <c r="AE18" s="24" t="s">
        <v>241</v>
      </c>
      <c r="AF18" s="24" t="str">
        <f>G34</f>
        <v>HEA4</v>
      </c>
      <c r="AG18" s="24" t="str">
        <f>H34</f>
        <v>Wild fires prediction</v>
      </c>
      <c r="AH18" s="24"/>
    </row>
    <row r="19" spans="1:34" ht="15.75" thickBot="1" x14ac:dyDescent="0.3">
      <c r="A19"/>
      <c r="B19"/>
      <c r="C19"/>
      <c r="D19"/>
      <c r="E19"/>
      <c r="F19" s="37"/>
      <c r="G19" s="38"/>
      <c r="H19" s="39"/>
      <c r="I19" s="40">
        <f>SUM(I17:I18)</f>
        <v>1</v>
      </c>
      <c r="J19" s="30"/>
      <c r="Z19" s="24" t="s">
        <v>241</v>
      </c>
      <c r="AA19" s="24" t="str">
        <f>G26</f>
        <v>WAT4</v>
      </c>
      <c r="AB19" s="24" t="str">
        <f>H26</f>
        <v>Sea Ice cover</v>
      </c>
      <c r="AC19" s="24"/>
      <c r="AE19" t="s">
        <v>1</v>
      </c>
      <c r="AF19" t="s">
        <v>235</v>
      </c>
      <c r="AG19" t="s">
        <v>236</v>
      </c>
      <c r="AH19" t="s">
        <v>237</v>
      </c>
    </row>
    <row r="20" spans="1:34" ht="15.75" thickBot="1" x14ac:dyDescent="0.3">
      <c r="A20"/>
      <c r="B20"/>
      <c r="C20"/>
      <c r="D20"/>
      <c r="E20"/>
      <c r="I20" s="30"/>
      <c r="J20" s="30"/>
      <c r="Z20" t="s">
        <v>1</v>
      </c>
      <c r="AA20" t="s">
        <v>235</v>
      </c>
      <c r="AB20" t="s">
        <v>236</v>
      </c>
      <c r="AC20" t="s">
        <v>237</v>
      </c>
      <c r="AE20">
        <v>1</v>
      </c>
      <c r="AF20" s="23" t="str">
        <f>CONCATENATE($AF$18,"-",Table24563744[[#This Row],[Subobjective]])</f>
        <v>HEA4-1</v>
      </c>
      <c r="AG20" t="s">
        <v>173</v>
      </c>
      <c r="AH20" s="9">
        <v>1</v>
      </c>
    </row>
    <row r="21" spans="1:34" x14ac:dyDescent="0.25">
      <c r="A21"/>
      <c r="B21"/>
      <c r="C21"/>
      <c r="D21"/>
      <c r="E21"/>
      <c r="F21" s="67" t="str">
        <f>CONCATENATE($A$6," panel")</f>
        <v>Water panel</v>
      </c>
      <c r="G21" s="68"/>
      <c r="H21" s="68"/>
      <c r="I21" s="69"/>
      <c r="J21" s="30"/>
      <c r="Z21">
        <v>1</v>
      </c>
      <c r="AA21" s="23" t="str">
        <f>CONCATENATE($AA$19,"-",Table245637[[#This Row],[Subobjective]])</f>
        <v>WAT4-1</v>
      </c>
      <c r="AB21" t="s">
        <v>101</v>
      </c>
      <c r="AC21" s="9">
        <v>1</v>
      </c>
      <c r="AF21" s="23"/>
      <c r="AH21" s="25">
        <f>SUM(AH20:AH20)</f>
        <v>1</v>
      </c>
    </row>
    <row r="22" spans="1:34" x14ac:dyDescent="0.25">
      <c r="A22"/>
      <c r="B22"/>
      <c r="C22"/>
      <c r="D22"/>
      <c r="E22"/>
      <c r="F22" s="32" t="s">
        <v>0</v>
      </c>
      <c r="G22" s="33" t="s">
        <v>235</v>
      </c>
      <c r="H22" s="34" t="s">
        <v>236</v>
      </c>
      <c r="I22" s="35" t="s">
        <v>237</v>
      </c>
      <c r="J22" s="30"/>
      <c r="AA22" s="23"/>
      <c r="AC22" s="25">
        <f>SUM(AC21:AC21)</f>
        <v>1</v>
      </c>
    </row>
    <row r="23" spans="1:34" x14ac:dyDescent="0.25">
      <c r="A23"/>
      <c r="B23"/>
      <c r="C23"/>
      <c r="D23"/>
      <c r="E23"/>
      <c r="F23" s="32">
        <v>1</v>
      </c>
      <c r="G23" s="33" t="str">
        <f>CONCATENATE($B$6,Table1142930[[#This Row],[Objective]])</f>
        <v>WAT1</v>
      </c>
      <c r="H23" s="36" t="s">
        <v>706</v>
      </c>
      <c r="I23" s="35">
        <f>2/3</f>
        <v>0.66666666666666663</v>
      </c>
      <c r="J23" s="30"/>
      <c r="AE23" s="24" t="s">
        <v>242</v>
      </c>
      <c r="AF23" s="24" t="str">
        <f>G35</f>
        <v>HEA5</v>
      </c>
      <c r="AG23" s="24" t="str">
        <f>H35</f>
        <v>Spread of infectious diseases</v>
      </c>
      <c r="AH23" s="24"/>
    </row>
    <row r="24" spans="1:34" x14ac:dyDescent="0.25">
      <c r="A24"/>
      <c r="B24"/>
      <c r="C24"/>
      <c r="D24"/>
      <c r="E24"/>
      <c r="F24" s="32">
        <v>2</v>
      </c>
      <c r="G24" s="33" t="str">
        <f>CONCATENATE($B$6,Table1142930[[#This Row],[Objective]])</f>
        <v>WAT2</v>
      </c>
      <c r="H24" s="34" t="s">
        <v>634</v>
      </c>
      <c r="I24" s="35">
        <f>1/9</f>
        <v>0.1111111111111111</v>
      </c>
      <c r="J24" s="30"/>
      <c r="U24">
        <v>1</v>
      </c>
      <c r="AE24" t="s">
        <v>1</v>
      </c>
      <c r="AF24" t="s">
        <v>235</v>
      </c>
      <c r="AG24" t="s">
        <v>236</v>
      </c>
      <c r="AH24" t="s">
        <v>237</v>
      </c>
    </row>
    <row r="25" spans="1:34" x14ac:dyDescent="0.25">
      <c r="A25"/>
      <c r="B25"/>
      <c r="C25"/>
      <c r="D25"/>
      <c r="E25"/>
      <c r="F25" s="32">
        <v>3</v>
      </c>
      <c r="G25" s="33" t="str">
        <f>CONCATENATE($B$6,Table1142930[[#This Row],[Objective]])</f>
        <v>WAT3</v>
      </c>
      <c r="H25" s="34" t="s">
        <v>81</v>
      </c>
      <c r="I25" s="35">
        <f>1/9</f>
        <v>0.1111111111111111</v>
      </c>
      <c r="J25" s="30"/>
      <c r="AE25">
        <v>1</v>
      </c>
      <c r="AF25" s="23" t="str">
        <f>CONCATENATE($AF$23,"-",Table245673845[[#This Row],[Subobjective]])</f>
        <v>HEA5-1</v>
      </c>
      <c r="AG25" t="s">
        <v>173</v>
      </c>
      <c r="AH25" s="9">
        <v>1</v>
      </c>
    </row>
    <row r="26" spans="1:34" x14ac:dyDescent="0.25">
      <c r="A26"/>
      <c r="B26"/>
      <c r="C26"/>
      <c r="D26"/>
      <c r="E26"/>
      <c r="F26" s="32">
        <v>4</v>
      </c>
      <c r="G26" s="33" t="str">
        <f>CONCATENATE($B$6,Table1142930[[#This Row],[Objective]])</f>
        <v>WAT4</v>
      </c>
      <c r="H26" s="34" t="s">
        <v>635</v>
      </c>
      <c r="I26" s="35">
        <f>1/9</f>
        <v>0.1111111111111111</v>
      </c>
      <c r="J26" s="30"/>
      <c r="AF26" s="23"/>
      <c r="AH26" s="25">
        <f>SUM(AH25:AH25)</f>
        <v>1</v>
      </c>
    </row>
    <row r="27" spans="1:34" ht="15.75" thickBot="1" x14ac:dyDescent="0.3">
      <c r="A27"/>
      <c r="B27"/>
      <c r="C27"/>
      <c r="D27"/>
      <c r="E27"/>
      <c r="F27" s="37"/>
      <c r="G27" s="38"/>
      <c r="H27" s="39"/>
      <c r="I27" s="40">
        <f>SUM(I23:I26)</f>
        <v>1</v>
      </c>
      <c r="J27" s="30"/>
    </row>
    <row r="28" spans="1:34" ht="15.75" thickBot="1" x14ac:dyDescent="0.3">
      <c r="A28"/>
      <c r="B28"/>
      <c r="C28"/>
      <c r="D28"/>
      <c r="E28"/>
      <c r="F28"/>
      <c r="G28"/>
      <c r="H28" s="22"/>
      <c r="I28" s="9"/>
      <c r="J28" s="30"/>
    </row>
    <row r="29" spans="1:34" x14ac:dyDescent="0.25">
      <c r="A29"/>
      <c r="B29"/>
      <c r="C29"/>
      <c r="D29"/>
      <c r="E29"/>
      <c r="F29" s="67" t="str">
        <f>CONCATENATE($A$7," panel")</f>
        <v>Applications panel</v>
      </c>
      <c r="G29" s="68"/>
      <c r="H29" s="68"/>
      <c r="I29" s="69"/>
      <c r="J29" s="30"/>
    </row>
    <row r="30" spans="1:34" x14ac:dyDescent="0.25">
      <c r="A30"/>
      <c r="B30"/>
      <c r="C30"/>
      <c r="D30"/>
      <c r="E30"/>
      <c r="F30" s="32" t="s">
        <v>0</v>
      </c>
      <c r="G30" s="33" t="s">
        <v>235</v>
      </c>
      <c r="H30" s="34" t="s">
        <v>236</v>
      </c>
      <c r="I30" s="35" t="s">
        <v>237</v>
      </c>
      <c r="J30" s="30"/>
    </row>
    <row r="31" spans="1:34" x14ac:dyDescent="0.25">
      <c r="A31"/>
      <c r="B31"/>
      <c r="C31"/>
      <c r="D31"/>
      <c r="E31"/>
      <c r="F31" s="32">
        <v>1</v>
      </c>
      <c r="G31" s="33" t="str">
        <f>CONCATENATE($B$7,Table1142931[[#This Row],[Objective]])</f>
        <v>HEA1</v>
      </c>
      <c r="H31" s="34" t="s">
        <v>171</v>
      </c>
      <c r="I31" s="35">
        <f>1/5</f>
        <v>0.2</v>
      </c>
      <c r="J31" s="30"/>
    </row>
    <row r="32" spans="1:34" x14ac:dyDescent="0.25">
      <c r="A32"/>
      <c r="B32"/>
      <c r="C32"/>
      <c r="D32"/>
      <c r="E32"/>
      <c r="F32" s="32">
        <v>2</v>
      </c>
      <c r="G32" s="33" t="str">
        <f>CONCATENATE($B$7,Table1142931[[#This Row],[Objective]])</f>
        <v>HEA2</v>
      </c>
      <c r="H32" s="34" t="s">
        <v>627</v>
      </c>
      <c r="I32" s="35">
        <f>1/5</f>
        <v>0.2</v>
      </c>
      <c r="J32" s="30"/>
    </row>
    <row r="33" spans="1:10" x14ac:dyDescent="0.25">
      <c r="A33"/>
      <c r="B33"/>
      <c r="C33"/>
      <c r="D33"/>
      <c r="E33"/>
      <c r="F33" s="32">
        <v>3</v>
      </c>
      <c r="G33" s="33" t="str">
        <f>CONCATENATE($B$7,Table1142931[[#This Row],[Objective]])</f>
        <v>HEA3</v>
      </c>
      <c r="H33" s="34" t="s">
        <v>144</v>
      </c>
      <c r="I33" s="35">
        <f>1/5</f>
        <v>0.2</v>
      </c>
      <c r="J33" s="30"/>
    </row>
    <row r="34" spans="1:10" x14ac:dyDescent="0.25">
      <c r="A34"/>
      <c r="B34"/>
      <c r="C34"/>
      <c r="D34"/>
      <c r="E34"/>
      <c r="F34" s="32">
        <v>4</v>
      </c>
      <c r="G34" s="33" t="str">
        <f>CONCATENATE($B$7,Table1142931[[#This Row],[Objective]])</f>
        <v>HEA4</v>
      </c>
      <c r="H34" s="34" t="s">
        <v>636</v>
      </c>
      <c r="I34" s="35">
        <f>1/5</f>
        <v>0.2</v>
      </c>
      <c r="J34" s="30"/>
    </row>
    <row r="35" spans="1:10" x14ac:dyDescent="0.25">
      <c r="A35"/>
      <c r="B35"/>
      <c r="C35"/>
      <c r="D35"/>
      <c r="E35"/>
      <c r="F35" s="32">
        <v>5</v>
      </c>
      <c r="G35" s="33" t="str">
        <f>CONCATENATE($B$7,Table1142931[[#This Row],[Objective]])</f>
        <v>HEA5</v>
      </c>
      <c r="H35" s="34" t="s">
        <v>626</v>
      </c>
      <c r="I35" s="35">
        <f>1/5</f>
        <v>0.2</v>
      </c>
      <c r="J35" s="30"/>
    </row>
    <row r="36" spans="1:10" ht="15.75" thickBot="1" x14ac:dyDescent="0.3">
      <c r="A36"/>
      <c r="B36"/>
      <c r="C36"/>
      <c r="D36"/>
      <c r="E36"/>
      <c r="F36" s="37"/>
      <c r="G36" s="38"/>
      <c r="H36" s="39"/>
      <c r="I36" s="40">
        <f>SUM(I31:I35)</f>
        <v>1</v>
      </c>
      <c r="J36" s="30"/>
    </row>
    <row r="37" spans="1:10" x14ac:dyDescent="0.25">
      <c r="A37"/>
      <c r="B37"/>
      <c r="C37"/>
      <c r="D37"/>
      <c r="E37"/>
      <c r="F37"/>
      <c r="G37"/>
      <c r="H37" s="22"/>
      <c r="I37" s="9"/>
      <c r="J37" s="30"/>
    </row>
    <row r="38" spans="1:10" x14ac:dyDescent="0.25">
      <c r="A38"/>
      <c r="B38"/>
      <c r="C38"/>
      <c r="D38"/>
      <c r="E38"/>
      <c r="I38" s="30"/>
      <c r="J38" s="30"/>
    </row>
    <row r="39" spans="1:10" x14ac:dyDescent="0.25">
      <c r="A39"/>
      <c r="B39"/>
      <c r="C39"/>
      <c r="D39"/>
      <c r="E39"/>
      <c r="I39" s="30"/>
      <c r="J39" s="30"/>
    </row>
    <row r="40" spans="1:10" x14ac:dyDescent="0.25">
      <c r="A40"/>
      <c r="B40"/>
      <c r="C40"/>
      <c r="D40"/>
      <c r="E40"/>
      <c r="I40" s="30"/>
      <c r="J40" s="30"/>
    </row>
    <row r="41" spans="1:10" x14ac:dyDescent="0.25">
      <c r="A41"/>
      <c r="B41"/>
      <c r="C41"/>
      <c r="D41"/>
      <c r="E41"/>
      <c r="I41" s="30"/>
      <c r="J41" s="30"/>
    </row>
    <row r="42" spans="1:10" x14ac:dyDescent="0.25">
      <c r="A42"/>
      <c r="B42"/>
      <c r="C42"/>
      <c r="D42"/>
      <c r="E42"/>
      <c r="I42" s="30"/>
      <c r="J42" s="30"/>
    </row>
    <row r="43" spans="1:10" x14ac:dyDescent="0.25">
      <c r="A43"/>
      <c r="B43"/>
      <c r="C43"/>
      <c r="D43"/>
      <c r="E43"/>
      <c r="F43"/>
      <c r="G43"/>
      <c r="H43"/>
      <c r="I43" s="30"/>
      <c r="J43" s="30"/>
    </row>
    <row r="44" spans="1:10" x14ac:dyDescent="0.25">
      <c r="A44"/>
      <c r="B44"/>
      <c r="C44"/>
      <c r="D44"/>
      <c r="E44"/>
      <c r="F44"/>
      <c r="G44"/>
      <c r="H44"/>
      <c r="I44" s="30"/>
      <c r="J44" s="30"/>
    </row>
    <row r="45" spans="1:10" x14ac:dyDescent="0.25">
      <c r="A45"/>
      <c r="B45"/>
      <c r="C45"/>
      <c r="D45"/>
      <c r="E45"/>
      <c r="F45"/>
      <c r="G45"/>
      <c r="H45"/>
      <c r="I45" s="30"/>
      <c r="J45" s="30"/>
    </row>
    <row r="46" spans="1:10" x14ac:dyDescent="0.25">
      <c r="A46"/>
      <c r="B46"/>
      <c r="C46"/>
      <c r="D46"/>
      <c r="E46"/>
      <c r="F46"/>
      <c r="G46"/>
      <c r="H46"/>
      <c r="I46" s="30"/>
      <c r="J46" s="30"/>
    </row>
    <row r="47" spans="1:10" x14ac:dyDescent="0.25">
      <c r="A47"/>
      <c r="B47"/>
      <c r="C47"/>
      <c r="D47"/>
      <c r="E47"/>
      <c r="F47"/>
      <c r="G47"/>
      <c r="H47"/>
      <c r="I47" s="30"/>
      <c r="J47" s="30"/>
    </row>
    <row r="48" spans="1:10" x14ac:dyDescent="0.25">
      <c r="A48"/>
      <c r="B48"/>
      <c r="C48"/>
      <c r="D48"/>
      <c r="E48"/>
      <c r="F48"/>
      <c r="G48"/>
      <c r="H48"/>
      <c r="I48" s="30"/>
      <c r="J48" s="30"/>
    </row>
    <row r="49" spans="1:10" x14ac:dyDescent="0.25">
      <c r="A49"/>
      <c r="B49"/>
      <c r="C49"/>
      <c r="D49"/>
      <c r="E49"/>
      <c r="F49"/>
      <c r="G49"/>
      <c r="H49"/>
      <c r="I49" s="30"/>
      <c r="J49" s="30"/>
    </row>
    <row r="50" spans="1:10" x14ac:dyDescent="0.25">
      <c r="A50"/>
      <c r="B50"/>
      <c r="C50"/>
      <c r="D50"/>
      <c r="E50"/>
      <c r="F50"/>
      <c r="G50"/>
      <c r="H50"/>
      <c r="I50" s="30"/>
      <c r="J50" s="30"/>
    </row>
    <row r="51" spans="1:10" x14ac:dyDescent="0.25">
      <c r="A51"/>
      <c r="B51"/>
      <c r="C51"/>
      <c r="D51"/>
      <c r="E51"/>
      <c r="F51"/>
      <c r="G51"/>
      <c r="H51"/>
      <c r="I51" s="30"/>
      <c r="J51" s="30"/>
    </row>
    <row r="52" spans="1:10" x14ac:dyDescent="0.25">
      <c r="A52"/>
      <c r="B52"/>
      <c r="C52"/>
      <c r="D52"/>
      <c r="E52"/>
      <c r="F52"/>
      <c r="G52"/>
      <c r="H52"/>
      <c r="I52" s="30"/>
      <c r="J52" s="30"/>
    </row>
    <row r="53" spans="1:10" x14ac:dyDescent="0.25">
      <c r="A53"/>
      <c r="B53"/>
      <c r="C53"/>
      <c r="D53"/>
      <c r="E53"/>
      <c r="F53"/>
      <c r="G53"/>
      <c r="H53"/>
      <c r="I53" s="30"/>
      <c r="J53" s="30"/>
    </row>
    <row r="54" spans="1:10" x14ac:dyDescent="0.25">
      <c r="A54"/>
      <c r="B54"/>
      <c r="C54"/>
      <c r="D54"/>
      <c r="E54"/>
      <c r="F54"/>
      <c r="G54"/>
      <c r="H54"/>
      <c r="I54" s="30"/>
      <c r="J54" s="30"/>
    </row>
    <row r="55" spans="1:10" x14ac:dyDescent="0.25">
      <c r="A55"/>
      <c r="B55"/>
      <c r="C55"/>
      <c r="D55"/>
      <c r="E55"/>
      <c r="F55"/>
      <c r="G55"/>
      <c r="H55"/>
      <c r="I55" s="30"/>
      <c r="J55" s="30"/>
    </row>
    <row r="56" spans="1:10" x14ac:dyDescent="0.25">
      <c r="A56"/>
      <c r="B56"/>
      <c r="C56"/>
      <c r="D56"/>
      <c r="E56"/>
      <c r="F56"/>
      <c r="G56"/>
      <c r="H56"/>
      <c r="I56" s="30"/>
      <c r="J56" s="30"/>
    </row>
    <row r="57" spans="1:10" x14ac:dyDescent="0.25">
      <c r="A57"/>
      <c r="B57"/>
      <c r="C57"/>
      <c r="D57"/>
      <c r="E57"/>
      <c r="F57"/>
      <c r="G57"/>
      <c r="H57"/>
      <c r="J57" s="30"/>
    </row>
    <row r="58" spans="1:10" x14ac:dyDescent="0.25">
      <c r="A58"/>
      <c r="B58"/>
      <c r="C58"/>
      <c r="D58"/>
      <c r="E58"/>
      <c r="F58"/>
      <c r="G58"/>
      <c r="H58"/>
      <c r="J58" s="30"/>
    </row>
    <row r="59" spans="1:10" x14ac:dyDescent="0.25">
      <c r="A59"/>
      <c r="B59"/>
      <c r="C59"/>
      <c r="D59"/>
      <c r="E59"/>
      <c r="F59"/>
      <c r="G59"/>
      <c r="H59"/>
      <c r="I59"/>
      <c r="J59" s="30"/>
    </row>
    <row r="60" spans="1:10" x14ac:dyDescent="0.25">
      <c r="A60"/>
      <c r="B60"/>
      <c r="C60"/>
      <c r="D60"/>
      <c r="E60"/>
      <c r="F60"/>
      <c r="G60"/>
      <c r="H60"/>
      <c r="I60"/>
      <c r="J60" s="30"/>
    </row>
    <row r="61" spans="1:10" x14ac:dyDescent="0.25">
      <c r="A61"/>
      <c r="B61"/>
      <c r="C61"/>
      <c r="D61"/>
      <c r="E61"/>
      <c r="F61"/>
      <c r="G61"/>
      <c r="H61"/>
      <c r="I61"/>
      <c r="J61" s="30"/>
    </row>
    <row r="62" spans="1:10" x14ac:dyDescent="0.25">
      <c r="A62"/>
      <c r="B62"/>
      <c r="C62"/>
      <c r="D62"/>
      <c r="E62"/>
      <c r="J62" s="30"/>
    </row>
    <row r="63" spans="1:10" x14ac:dyDescent="0.25">
      <c r="A63"/>
      <c r="B63"/>
      <c r="C63"/>
      <c r="D63"/>
      <c r="E63"/>
      <c r="J63" s="30"/>
    </row>
    <row r="64" spans="1:10" x14ac:dyDescent="0.25">
      <c r="A64"/>
      <c r="B64"/>
      <c r="C64"/>
      <c r="D64"/>
      <c r="E64"/>
      <c r="J64" s="30"/>
    </row>
    <row r="65" spans="1:10" x14ac:dyDescent="0.25">
      <c r="A65"/>
      <c r="B65"/>
      <c r="C65"/>
      <c r="D65"/>
      <c r="E65"/>
      <c r="J65" s="30"/>
    </row>
    <row r="66" spans="1:10" x14ac:dyDescent="0.25">
      <c r="A66"/>
      <c r="B66"/>
      <c r="C66"/>
      <c r="D66"/>
      <c r="E66"/>
      <c r="J66" s="30"/>
    </row>
    <row r="67" spans="1:10" x14ac:dyDescent="0.25">
      <c r="A67"/>
      <c r="B67"/>
      <c r="C67"/>
      <c r="D67"/>
      <c r="E67"/>
      <c r="J67" s="30"/>
    </row>
    <row r="68" spans="1:10" x14ac:dyDescent="0.25">
      <c r="A68"/>
      <c r="B68"/>
      <c r="C68"/>
      <c r="D68"/>
      <c r="E68"/>
      <c r="J68" s="30"/>
    </row>
    <row r="69" spans="1:10" x14ac:dyDescent="0.25">
      <c r="A69"/>
      <c r="B69"/>
      <c r="C69"/>
      <c r="D69"/>
      <c r="E69"/>
      <c r="J69" s="30"/>
    </row>
    <row r="70" spans="1:10" x14ac:dyDescent="0.25">
      <c r="A70"/>
      <c r="B70"/>
      <c r="C70"/>
      <c r="D70"/>
      <c r="E70"/>
      <c r="J70" s="30"/>
    </row>
    <row r="71" spans="1:10" x14ac:dyDescent="0.25">
      <c r="A71"/>
      <c r="B71"/>
      <c r="C71"/>
      <c r="D71"/>
      <c r="E71"/>
      <c r="J71" s="30"/>
    </row>
    <row r="72" spans="1:10" x14ac:dyDescent="0.25">
      <c r="A72"/>
      <c r="B72"/>
      <c r="C72"/>
      <c r="D72"/>
      <c r="E72"/>
      <c r="J72" s="30"/>
    </row>
    <row r="73" spans="1:10" x14ac:dyDescent="0.25">
      <c r="A73"/>
      <c r="B73"/>
      <c r="C73"/>
      <c r="D73"/>
      <c r="E73"/>
      <c r="J73" s="30"/>
    </row>
    <row r="74" spans="1:10" x14ac:dyDescent="0.25">
      <c r="A74"/>
      <c r="B74"/>
      <c r="C74"/>
      <c r="D74"/>
      <c r="E74"/>
      <c r="J74" s="30"/>
    </row>
    <row r="75" spans="1:10" x14ac:dyDescent="0.25">
      <c r="A75"/>
      <c r="B75"/>
      <c r="C75"/>
      <c r="D75"/>
      <c r="E75"/>
      <c r="J75" s="30"/>
    </row>
    <row r="76" spans="1:10" x14ac:dyDescent="0.25">
      <c r="A76"/>
      <c r="B76"/>
      <c r="C76"/>
      <c r="D76"/>
      <c r="E76"/>
      <c r="J76" s="30"/>
    </row>
    <row r="77" spans="1:10" x14ac:dyDescent="0.25">
      <c r="A77"/>
      <c r="B77"/>
      <c r="C77"/>
      <c r="D77"/>
      <c r="E77"/>
      <c r="J77" s="30"/>
    </row>
    <row r="78" spans="1:10" x14ac:dyDescent="0.25">
      <c r="A78"/>
      <c r="B78"/>
      <c r="C78"/>
      <c r="D78"/>
      <c r="E78"/>
      <c r="J78" s="30"/>
    </row>
    <row r="79" spans="1:10" x14ac:dyDescent="0.25">
      <c r="A79"/>
      <c r="B79"/>
      <c r="C79"/>
      <c r="D79"/>
      <c r="E79"/>
      <c r="J79" s="30"/>
    </row>
    <row r="80" spans="1:10" x14ac:dyDescent="0.25">
      <c r="A80"/>
      <c r="B80"/>
      <c r="C80"/>
      <c r="D80"/>
      <c r="E80"/>
      <c r="J80" s="30"/>
    </row>
    <row r="81" spans="1:35" x14ac:dyDescent="0.25">
      <c r="A81"/>
      <c r="B81"/>
      <c r="C81"/>
      <c r="D81"/>
      <c r="E81"/>
      <c r="J81"/>
    </row>
    <row r="82" spans="1:35" x14ac:dyDescent="0.25">
      <c r="A82"/>
      <c r="B82"/>
      <c r="C82"/>
      <c r="D82"/>
      <c r="E82"/>
      <c r="J82"/>
    </row>
    <row r="83" spans="1:35" x14ac:dyDescent="0.25">
      <c r="E83"/>
      <c r="J83"/>
      <c r="AI83">
        <v>1</v>
      </c>
    </row>
  </sheetData>
  <mergeCells count="13">
    <mergeCell ref="F21:I21"/>
    <mergeCell ref="F29:I29"/>
    <mergeCell ref="F9:I9"/>
    <mergeCell ref="Z2:AC2"/>
    <mergeCell ref="AE2:AH2"/>
    <mergeCell ref="P2:S2"/>
    <mergeCell ref="U2:X2"/>
    <mergeCell ref="F15:I15"/>
    <mergeCell ref="F1:I1"/>
    <mergeCell ref="K1:N1"/>
    <mergeCell ref="A1:D1"/>
    <mergeCell ref="F2:I2"/>
    <mergeCell ref="K2:N2"/>
  </mergeCells>
  <pageMargins left="0.7" right="0.7" top="0.75" bottom="0.75" header="0.3" footer="0.3"/>
  <pageSetup orientation="portrait" r:id="rId1"/>
  <tableParts count="2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281"/>
  <sheetViews>
    <sheetView zoomScale="55" zoomScaleNormal="55" workbookViewId="0">
      <pane xSplit="8" ySplit="1" topLeftCell="I51" activePane="bottomRight" state="frozen"/>
      <selection pane="topRight" activeCell="I1" sqref="I1"/>
      <selection pane="bottomLeft" activeCell="A2" sqref="A2"/>
      <selection pane="bottomRight" activeCell="I55" sqref="I55"/>
    </sheetView>
  </sheetViews>
  <sheetFormatPr defaultRowHeight="15" x14ac:dyDescent="0.25"/>
  <cols>
    <col min="1" max="1" width="6.42578125" style="1" customWidth="1"/>
    <col min="2" max="2" width="19.140625" style="1" customWidth="1"/>
    <col min="3" max="3" width="9.28515625" style="1" customWidth="1"/>
    <col min="4" max="4" width="5.7109375" style="1" hidden="1" customWidth="1"/>
    <col min="5" max="5" width="27.85546875" style="6" hidden="1" customWidth="1"/>
    <col min="6" max="6" width="13.5703125" style="7" bestFit="1" customWidth="1"/>
    <col min="7" max="7" width="6.7109375" style="3" bestFit="1" customWidth="1"/>
    <col min="8" max="8" width="44.140625" style="3" customWidth="1"/>
    <col min="9" max="9" width="33.140625" style="1" customWidth="1"/>
    <col min="10" max="10" width="24" style="1" hidden="1" customWidth="1"/>
    <col min="11" max="11" width="33.5703125" style="1" hidden="1" customWidth="1"/>
    <col min="12" max="12" width="71.85546875" style="1" bestFit="1" customWidth="1"/>
    <col min="13" max="13" width="38.42578125" style="1" customWidth="1"/>
    <col min="14" max="14" width="27.140625" style="1" bestFit="1" customWidth="1"/>
    <col min="15" max="15" width="37.42578125" style="1" bestFit="1" customWidth="1"/>
    <col min="16" max="17" width="27.140625" style="1" bestFit="1" customWidth="1"/>
    <col min="18" max="18" width="23" style="1" customWidth="1"/>
    <col min="19" max="19" width="35.5703125" style="1" bestFit="1" customWidth="1"/>
    <col min="20" max="20" width="32.42578125" style="1" bestFit="1" customWidth="1"/>
    <col min="21" max="16384" width="9.140625" style="1"/>
  </cols>
  <sheetData>
    <row r="1" spans="1:23" x14ac:dyDescent="0.25">
      <c r="A1" s="1" t="s">
        <v>0</v>
      </c>
      <c r="B1" s="1" t="s">
        <v>42</v>
      </c>
      <c r="C1" s="1" t="s">
        <v>1</v>
      </c>
      <c r="D1" s="1" t="s">
        <v>49</v>
      </c>
      <c r="E1" s="6" t="s">
        <v>42</v>
      </c>
      <c r="F1" s="7" t="s">
        <v>17</v>
      </c>
      <c r="G1" s="3" t="s">
        <v>20</v>
      </c>
      <c r="H1" s="3" t="s">
        <v>19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594</v>
      </c>
      <c r="U1" s="1" t="s">
        <v>610</v>
      </c>
      <c r="V1" s="1" t="s">
        <v>623</v>
      </c>
      <c r="W1" s="1" t="s">
        <v>624</v>
      </c>
    </row>
    <row r="2" spans="1:23" s="13" customFormat="1" x14ac:dyDescent="0.25">
      <c r="A2" s="13" t="s">
        <v>642</v>
      </c>
      <c r="B2" s="13" t="s">
        <v>628</v>
      </c>
      <c r="C2" s="13" t="s">
        <v>641</v>
      </c>
      <c r="D2" s="13">
        <v>0.5</v>
      </c>
      <c r="E2" s="13" t="s">
        <v>91</v>
      </c>
      <c r="F2" s="13" t="s">
        <v>18</v>
      </c>
      <c r="G2" s="14">
        <v>1</v>
      </c>
      <c r="H2" s="13" t="s">
        <v>652</v>
      </c>
      <c r="I2" s="13" t="s">
        <v>90</v>
      </c>
      <c r="J2" s="13" t="s">
        <v>105</v>
      </c>
      <c r="K2" s="13" t="s">
        <v>16</v>
      </c>
      <c r="L2" s="13" t="s">
        <v>647</v>
      </c>
      <c r="M2" s="13" t="s">
        <v>653</v>
      </c>
      <c r="N2" s="13" t="s">
        <v>597</v>
      </c>
      <c r="O2" s="13" t="s">
        <v>644</v>
      </c>
      <c r="P2" s="13" t="s">
        <v>604</v>
      </c>
      <c r="Q2" s="13" t="s">
        <v>607</v>
      </c>
      <c r="R2" s="13" t="s">
        <v>615</v>
      </c>
      <c r="S2" s="13" t="s">
        <v>617</v>
      </c>
      <c r="T2" s="13" t="s">
        <v>645</v>
      </c>
      <c r="U2" s="13" t="s">
        <v>55</v>
      </c>
    </row>
    <row r="3" spans="1:23" s="13" customFormat="1" x14ac:dyDescent="0.25">
      <c r="A3" s="13" t="s">
        <v>642</v>
      </c>
      <c r="B3" s="13" t="s">
        <v>628</v>
      </c>
      <c r="C3" s="13" t="s">
        <v>641</v>
      </c>
      <c r="D3" s="13">
        <v>0.5</v>
      </c>
      <c r="E3" s="13" t="s">
        <v>91</v>
      </c>
      <c r="F3" s="13" t="s">
        <v>21</v>
      </c>
      <c r="G3" s="14">
        <v>0.75</v>
      </c>
      <c r="H3" s="13" t="s">
        <v>30</v>
      </c>
      <c r="I3" s="13" t="s">
        <v>90</v>
      </c>
      <c r="J3" s="13" t="s">
        <v>105</v>
      </c>
      <c r="K3" s="13" t="s">
        <v>28</v>
      </c>
      <c r="L3" s="13" t="s">
        <v>647</v>
      </c>
      <c r="M3" s="13" t="s">
        <v>653</v>
      </c>
      <c r="N3" s="13" t="s">
        <v>597</v>
      </c>
      <c r="O3" s="13" t="s">
        <v>644</v>
      </c>
      <c r="P3" s="13" t="s">
        <v>604</v>
      </c>
      <c r="Q3" s="13" t="s">
        <v>607</v>
      </c>
      <c r="R3" s="13" t="s">
        <v>615</v>
      </c>
      <c r="S3" s="13" t="s">
        <v>617</v>
      </c>
      <c r="T3" s="13" t="s">
        <v>645</v>
      </c>
      <c r="U3" s="13" t="s">
        <v>55</v>
      </c>
    </row>
    <row r="4" spans="1:23" s="13" customFormat="1" x14ac:dyDescent="0.25">
      <c r="A4" s="13" t="s">
        <v>642</v>
      </c>
      <c r="B4" s="13" t="s">
        <v>628</v>
      </c>
      <c r="C4" s="13" t="s">
        <v>641</v>
      </c>
      <c r="D4" s="13">
        <v>0.5</v>
      </c>
      <c r="E4" s="13" t="s">
        <v>91</v>
      </c>
      <c r="F4" s="13" t="s">
        <v>22</v>
      </c>
      <c r="G4" s="14">
        <v>0.5</v>
      </c>
      <c r="H4" s="13" t="s">
        <v>31</v>
      </c>
      <c r="I4" s="13" t="s">
        <v>90</v>
      </c>
      <c r="J4" s="13" t="s">
        <v>105</v>
      </c>
      <c r="K4" s="13" t="s">
        <v>29</v>
      </c>
      <c r="L4" s="13" t="s">
        <v>647</v>
      </c>
      <c r="M4" s="13" t="s">
        <v>653</v>
      </c>
      <c r="N4" s="13" t="s">
        <v>597</v>
      </c>
      <c r="O4" s="13" t="s">
        <v>644</v>
      </c>
      <c r="P4" s="13" t="s">
        <v>604</v>
      </c>
      <c r="Q4" s="13" t="s">
        <v>607</v>
      </c>
      <c r="R4" s="13" t="s">
        <v>615</v>
      </c>
      <c r="S4" s="13" t="s">
        <v>617</v>
      </c>
      <c r="T4" s="13" t="s">
        <v>645</v>
      </c>
      <c r="U4" s="13" t="s">
        <v>55</v>
      </c>
    </row>
    <row r="5" spans="1:23" s="13" customFormat="1" x14ac:dyDescent="0.25">
      <c r="A5" s="13" t="s">
        <v>642</v>
      </c>
      <c r="B5" s="13" t="s">
        <v>628</v>
      </c>
      <c r="C5" s="13" t="s">
        <v>641</v>
      </c>
      <c r="D5" s="13">
        <v>0.5</v>
      </c>
      <c r="E5" s="13" t="s">
        <v>91</v>
      </c>
      <c r="F5" s="13" t="s">
        <v>23</v>
      </c>
      <c r="G5" s="14">
        <v>0.5</v>
      </c>
      <c r="H5" s="13" t="s">
        <v>646</v>
      </c>
      <c r="I5" s="13" t="s">
        <v>90</v>
      </c>
      <c r="J5" s="13" t="s">
        <v>105</v>
      </c>
      <c r="K5" s="13" t="s">
        <v>16</v>
      </c>
      <c r="L5" s="13" t="s">
        <v>647</v>
      </c>
      <c r="M5" s="13" t="s">
        <v>653</v>
      </c>
      <c r="N5" s="15" t="s">
        <v>598</v>
      </c>
      <c r="O5" s="13" t="s">
        <v>644</v>
      </c>
      <c r="P5" s="13" t="s">
        <v>604</v>
      </c>
      <c r="Q5" s="13" t="s">
        <v>607</v>
      </c>
      <c r="R5" s="13" t="s">
        <v>615</v>
      </c>
      <c r="S5" s="13" t="s">
        <v>617</v>
      </c>
      <c r="T5" s="13" t="s">
        <v>645</v>
      </c>
      <c r="U5" s="13" t="s">
        <v>55</v>
      </c>
    </row>
    <row r="6" spans="1:23" s="13" customFormat="1" x14ac:dyDescent="0.25">
      <c r="A6" s="13" t="s">
        <v>642</v>
      </c>
      <c r="B6" s="13" t="s">
        <v>628</v>
      </c>
      <c r="C6" s="13" t="s">
        <v>641</v>
      </c>
      <c r="D6" s="13">
        <v>0.5</v>
      </c>
      <c r="E6" s="13" t="s">
        <v>91</v>
      </c>
      <c r="F6" s="13" t="s">
        <v>24</v>
      </c>
      <c r="G6" s="14">
        <v>0.67</v>
      </c>
      <c r="H6" s="13" t="s">
        <v>649</v>
      </c>
      <c r="I6" s="13" t="s">
        <v>90</v>
      </c>
      <c r="J6" s="13" t="s">
        <v>105</v>
      </c>
      <c r="K6" s="13" t="s">
        <v>16</v>
      </c>
      <c r="L6" s="15" t="s">
        <v>651</v>
      </c>
      <c r="M6" s="13" t="s">
        <v>653</v>
      </c>
      <c r="N6" s="13" t="s">
        <v>597</v>
      </c>
      <c r="O6" s="13" t="s">
        <v>644</v>
      </c>
      <c r="P6" s="13" t="s">
        <v>604</v>
      </c>
      <c r="Q6" s="13" t="s">
        <v>607</v>
      </c>
      <c r="R6" s="13" t="s">
        <v>615</v>
      </c>
      <c r="S6" s="13" t="s">
        <v>617</v>
      </c>
      <c r="T6" s="13" t="s">
        <v>645</v>
      </c>
      <c r="U6" s="13" t="s">
        <v>55</v>
      </c>
    </row>
    <row r="7" spans="1:23" s="13" customFormat="1" x14ac:dyDescent="0.25">
      <c r="A7" s="13" t="s">
        <v>642</v>
      </c>
      <c r="B7" s="13" t="s">
        <v>628</v>
      </c>
      <c r="C7" s="13" t="s">
        <v>641</v>
      </c>
      <c r="D7" s="13">
        <v>0.5</v>
      </c>
      <c r="E7" s="13" t="s">
        <v>91</v>
      </c>
      <c r="F7" s="13" t="s">
        <v>25</v>
      </c>
      <c r="G7" s="14">
        <v>0.33</v>
      </c>
      <c r="H7" s="13" t="s">
        <v>650</v>
      </c>
      <c r="I7" s="13" t="s">
        <v>90</v>
      </c>
      <c r="J7" s="13" t="s">
        <v>105</v>
      </c>
      <c r="K7" s="13" t="s">
        <v>16</v>
      </c>
      <c r="L7" s="15" t="s">
        <v>601</v>
      </c>
      <c r="M7" s="13" t="s">
        <v>653</v>
      </c>
      <c r="N7" s="13" t="s">
        <v>597</v>
      </c>
      <c r="O7" s="13" t="s">
        <v>644</v>
      </c>
      <c r="P7" s="13" t="s">
        <v>604</v>
      </c>
      <c r="Q7" s="13" t="s">
        <v>607</v>
      </c>
      <c r="R7" s="13" t="s">
        <v>615</v>
      </c>
      <c r="S7" s="13" t="s">
        <v>617</v>
      </c>
      <c r="T7" s="13" t="s">
        <v>645</v>
      </c>
      <c r="U7" s="13" t="s">
        <v>55</v>
      </c>
    </row>
    <row r="8" spans="1:23" s="13" customFormat="1" x14ac:dyDescent="0.25">
      <c r="A8" s="13" t="s">
        <v>642</v>
      </c>
      <c r="B8" s="13" t="s">
        <v>628</v>
      </c>
      <c r="C8" s="13" t="s">
        <v>641</v>
      </c>
      <c r="D8" s="13">
        <v>0.5</v>
      </c>
      <c r="E8" s="13" t="s">
        <v>91</v>
      </c>
      <c r="F8" s="13" t="s">
        <v>36</v>
      </c>
      <c r="G8" s="14">
        <v>0.67</v>
      </c>
      <c r="H8" s="13" t="s">
        <v>655</v>
      </c>
      <c r="I8" s="13" t="s">
        <v>90</v>
      </c>
      <c r="J8" s="13" t="s">
        <v>105</v>
      </c>
      <c r="K8" s="13" t="s">
        <v>16</v>
      </c>
      <c r="L8" s="13" t="s">
        <v>647</v>
      </c>
      <c r="M8" s="15" t="s">
        <v>599</v>
      </c>
      <c r="N8" s="13" t="s">
        <v>597</v>
      </c>
      <c r="O8" s="13" t="s">
        <v>644</v>
      </c>
      <c r="P8" s="13" t="s">
        <v>604</v>
      </c>
      <c r="Q8" s="13" t="s">
        <v>607</v>
      </c>
      <c r="R8" s="13" t="s">
        <v>615</v>
      </c>
      <c r="S8" s="13" t="s">
        <v>617</v>
      </c>
      <c r="T8" s="13" t="s">
        <v>645</v>
      </c>
      <c r="U8" s="13" t="s">
        <v>55</v>
      </c>
    </row>
    <row r="9" spans="1:23" s="13" customFormat="1" x14ac:dyDescent="0.25">
      <c r="A9" s="13" t="s">
        <v>642</v>
      </c>
      <c r="B9" s="13" t="s">
        <v>628</v>
      </c>
      <c r="C9" s="13" t="s">
        <v>641</v>
      </c>
      <c r="D9" s="13">
        <v>0.5</v>
      </c>
      <c r="E9" s="13" t="s">
        <v>91</v>
      </c>
      <c r="F9" s="13" t="s">
        <v>37</v>
      </c>
      <c r="G9" s="14">
        <v>0.33</v>
      </c>
      <c r="H9" s="13" t="s">
        <v>654</v>
      </c>
      <c r="I9" s="13" t="s">
        <v>90</v>
      </c>
      <c r="J9" s="13" t="s">
        <v>105</v>
      </c>
      <c r="K9" s="13" t="s">
        <v>16</v>
      </c>
      <c r="L9" s="13" t="s">
        <v>647</v>
      </c>
      <c r="M9" s="15" t="s">
        <v>600</v>
      </c>
      <c r="N9" s="13" t="s">
        <v>597</v>
      </c>
      <c r="O9" s="13" t="s">
        <v>644</v>
      </c>
      <c r="P9" s="13" t="s">
        <v>604</v>
      </c>
      <c r="Q9" s="13" t="s">
        <v>607</v>
      </c>
      <c r="R9" s="13" t="s">
        <v>615</v>
      </c>
      <c r="S9" s="13" t="s">
        <v>617</v>
      </c>
      <c r="T9" s="13" t="s">
        <v>645</v>
      </c>
      <c r="U9" s="13" t="s">
        <v>55</v>
      </c>
    </row>
    <row r="10" spans="1:23" s="13" customFormat="1" x14ac:dyDescent="0.25">
      <c r="A10" s="13" t="s">
        <v>642</v>
      </c>
      <c r="B10" s="13" t="s">
        <v>628</v>
      </c>
      <c r="C10" s="13" t="s">
        <v>641</v>
      </c>
      <c r="F10" s="13" t="s">
        <v>38</v>
      </c>
      <c r="G10" s="14">
        <v>0.67</v>
      </c>
      <c r="H10" s="13" t="s">
        <v>657</v>
      </c>
      <c r="I10" s="13" t="s">
        <v>90</v>
      </c>
      <c r="J10" s="13" t="s">
        <v>105</v>
      </c>
      <c r="K10" s="13" t="s">
        <v>16</v>
      </c>
      <c r="L10" s="13" t="s">
        <v>647</v>
      </c>
      <c r="M10" s="13" t="s">
        <v>653</v>
      </c>
      <c r="N10" s="13" t="s">
        <v>597</v>
      </c>
      <c r="O10" s="15" t="s">
        <v>643</v>
      </c>
      <c r="P10" s="13" t="s">
        <v>604</v>
      </c>
      <c r="Q10" s="13" t="s">
        <v>607</v>
      </c>
      <c r="R10" s="13" t="s">
        <v>615</v>
      </c>
      <c r="S10" s="13" t="s">
        <v>617</v>
      </c>
      <c r="T10" s="13" t="s">
        <v>645</v>
      </c>
      <c r="U10" s="13" t="s">
        <v>55</v>
      </c>
    </row>
    <row r="11" spans="1:23" s="13" customFormat="1" x14ac:dyDescent="0.25">
      <c r="A11" s="13" t="s">
        <v>642</v>
      </c>
      <c r="B11" s="13" t="s">
        <v>628</v>
      </c>
      <c r="C11" s="13" t="s">
        <v>641</v>
      </c>
      <c r="D11" s="13">
        <v>0.5</v>
      </c>
      <c r="E11" s="13" t="s">
        <v>91</v>
      </c>
      <c r="F11" s="13" t="s">
        <v>64</v>
      </c>
      <c r="G11" s="14">
        <v>0.5</v>
      </c>
      <c r="H11" s="13" t="s">
        <v>603</v>
      </c>
      <c r="I11" s="13" t="s">
        <v>90</v>
      </c>
      <c r="J11" s="13" t="s">
        <v>105</v>
      </c>
      <c r="K11" s="13" t="s">
        <v>16</v>
      </c>
      <c r="L11" s="13" t="s">
        <v>647</v>
      </c>
      <c r="M11" s="13" t="s">
        <v>653</v>
      </c>
      <c r="N11" s="13" t="s">
        <v>597</v>
      </c>
      <c r="O11" s="15" t="s">
        <v>656</v>
      </c>
      <c r="P11" s="13" t="s">
        <v>604</v>
      </c>
      <c r="Q11" s="13" t="s">
        <v>607</v>
      </c>
      <c r="R11" s="13" t="s">
        <v>615</v>
      </c>
      <c r="S11" s="13" t="s">
        <v>617</v>
      </c>
      <c r="T11" s="13" t="s">
        <v>645</v>
      </c>
      <c r="U11" s="13" t="s">
        <v>55</v>
      </c>
    </row>
    <row r="12" spans="1:23" s="13" customFormat="1" x14ac:dyDescent="0.25">
      <c r="A12" s="13" t="s">
        <v>642</v>
      </c>
      <c r="B12" s="13" t="s">
        <v>628</v>
      </c>
      <c r="C12" s="13" t="s">
        <v>641</v>
      </c>
      <c r="D12" s="13">
        <v>0.5</v>
      </c>
      <c r="E12" s="13" t="s">
        <v>91</v>
      </c>
      <c r="F12" s="13" t="s">
        <v>111</v>
      </c>
      <c r="G12" s="14">
        <v>0.25</v>
      </c>
      <c r="H12" s="13" t="s">
        <v>660</v>
      </c>
      <c r="I12" s="13" t="s">
        <v>90</v>
      </c>
      <c r="J12" s="13" t="s">
        <v>105</v>
      </c>
      <c r="K12" s="13" t="s">
        <v>16</v>
      </c>
      <c r="L12" s="13" t="s">
        <v>647</v>
      </c>
      <c r="M12" s="13" t="s">
        <v>653</v>
      </c>
      <c r="N12" s="13" t="s">
        <v>597</v>
      </c>
      <c r="O12" s="15" t="s">
        <v>661</v>
      </c>
      <c r="P12" s="13" t="s">
        <v>604</v>
      </c>
      <c r="Q12" s="13" t="s">
        <v>607</v>
      </c>
      <c r="R12" s="13" t="s">
        <v>615</v>
      </c>
      <c r="S12" s="13" t="s">
        <v>617</v>
      </c>
      <c r="T12" s="13" t="s">
        <v>645</v>
      </c>
      <c r="U12" s="13" t="s">
        <v>55</v>
      </c>
    </row>
    <row r="13" spans="1:23" s="13" customFormat="1" x14ac:dyDescent="0.25">
      <c r="A13" s="13" t="s">
        <v>642</v>
      </c>
      <c r="B13" s="13" t="s">
        <v>628</v>
      </c>
      <c r="C13" s="13" t="s">
        <v>641</v>
      </c>
      <c r="D13" s="13">
        <v>0.5</v>
      </c>
      <c r="E13" s="13" t="s">
        <v>91</v>
      </c>
      <c r="F13" s="13" t="s">
        <v>123</v>
      </c>
      <c r="G13" s="14">
        <v>0.5</v>
      </c>
      <c r="H13" s="13" t="s">
        <v>606</v>
      </c>
      <c r="I13" s="13" t="s">
        <v>90</v>
      </c>
      <c r="J13" s="13" t="s">
        <v>105</v>
      </c>
      <c r="K13" s="13" t="s">
        <v>16</v>
      </c>
      <c r="L13" s="13" t="s">
        <v>647</v>
      </c>
      <c r="M13" s="13" t="s">
        <v>653</v>
      </c>
      <c r="N13" s="13" t="s">
        <v>597</v>
      </c>
      <c r="O13" s="13" t="s">
        <v>644</v>
      </c>
      <c r="P13" s="15" t="s">
        <v>605</v>
      </c>
      <c r="Q13" s="13" t="s">
        <v>607</v>
      </c>
      <c r="R13" s="13" t="s">
        <v>615</v>
      </c>
      <c r="S13" s="13" t="s">
        <v>617</v>
      </c>
      <c r="T13" s="13" t="s">
        <v>645</v>
      </c>
      <c r="U13" s="13" t="s">
        <v>55</v>
      </c>
    </row>
    <row r="14" spans="1:23" s="13" customFormat="1" x14ac:dyDescent="0.25">
      <c r="A14" s="13" t="s">
        <v>642</v>
      </c>
      <c r="B14" s="13" t="s">
        <v>628</v>
      </c>
      <c r="C14" s="13" t="s">
        <v>641</v>
      </c>
      <c r="D14" s="13">
        <v>0.5</v>
      </c>
      <c r="E14" s="13" t="s">
        <v>91</v>
      </c>
      <c r="F14" s="13" t="s">
        <v>595</v>
      </c>
      <c r="G14" s="14">
        <v>0.1</v>
      </c>
      <c r="H14" s="13" t="s">
        <v>608</v>
      </c>
      <c r="I14" s="13" t="s">
        <v>90</v>
      </c>
      <c r="J14" s="13" t="s">
        <v>105</v>
      </c>
      <c r="K14" s="13" t="s">
        <v>16</v>
      </c>
      <c r="L14" s="13" t="s">
        <v>647</v>
      </c>
      <c r="M14" s="13" t="s">
        <v>653</v>
      </c>
      <c r="N14" s="13" t="s">
        <v>597</v>
      </c>
      <c r="O14" s="13" t="s">
        <v>644</v>
      </c>
      <c r="P14" s="13" t="s">
        <v>604</v>
      </c>
      <c r="Q14" s="15" t="s">
        <v>609</v>
      </c>
      <c r="R14" s="13" t="s">
        <v>615</v>
      </c>
      <c r="S14" s="13" t="s">
        <v>617</v>
      </c>
      <c r="T14" s="13" t="s">
        <v>645</v>
      </c>
      <c r="U14" s="13" t="s">
        <v>55</v>
      </c>
    </row>
    <row r="15" spans="1:23" s="13" customFormat="1" x14ac:dyDescent="0.25">
      <c r="A15" s="13" t="s">
        <v>642</v>
      </c>
      <c r="B15" s="13" t="s">
        <v>628</v>
      </c>
      <c r="C15" s="13" t="s">
        <v>641</v>
      </c>
      <c r="D15" s="13">
        <v>0.5</v>
      </c>
      <c r="E15" s="13" t="s">
        <v>91</v>
      </c>
      <c r="F15" s="13" t="s">
        <v>596</v>
      </c>
      <c r="G15" s="14">
        <v>0.75</v>
      </c>
      <c r="H15" s="13" t="s">
        <v>614</v>
      </c>
      <c r="I15" s="13" t="s">
        <v>90</v>
      </c>
      <c r="J15" s="13" t="s">
        <v>105</v>
      </c>
      <c r="K15" s="13" t="s">
        <v>16</v>
      </c>
      <c r="L15" s="13" t="s">
        <v>647</v>
      </c>
      <c r="M15" s="13" t="s">
        <v>653</v>
      </c>
      <c r="N15" s="13" t="s">
        <v>597</v>
      </c>
      <c r="O15" s="13" t="s">
        <v>644</v>
      </c>
      <c r="P15" s="13" t="s">
        <v>604</v>
      </c>
      <c r="Q15" s="13" t="s">
        <v>607</v>
      </c>
      <c r="R15" s="15" t="s">
        <v>616</v>
      </c>
      <c r="S15" s="13" t="s">
        <v>617</v>
      </c>
      <c r="T15" s="13" t="s">
        <v>645</v>
      </c>
      <c r="U15" s="13" t="s">
        <v>55</v>
      </c>
    </row>
    <row r="16" spans="1:23" s="13" customFormat="1" x14ac:dyDescent="0.25">
      <c r="A16" s="13" t="s">
        <v>642</v>
      </c>
      <c r="B16" s="13" t="s">
        <v>628</v>
      </c>
      <c r="C16" s="13" t="s">
        <v>641</v>
      </c>
      <c r="D16" s="13">
        <v>0.5</v>
      </c>
      <c r="E16" s="13" t="s">
        <v>91</v>
      </c>
      <c r="F16" s="13" t="s">
        <v>613</v>
      </c>
      <c r="G16" s="14">
        <v>0.1</v>
      </c>
      <c r="H16" s="13" t="s">
        <v>618</v>
      </c>
      <c r="I16" s="13" t="s">
        <v>90</v>
      </c>
      <c r="J16" s="13" t="s">
        <v>105</v>
      </c>
      <c r="K16" s="13" t="s">
        <v>16</v>
      </c>
      <c r="L16" s="13" t="s">
        <v>647</v>
      </c>
      <c r="M16" s="13" t="s">
        <v>653</v>
      </c>
      <c r="N16" s="13" t="s">
        <v>597</v>
      </c>
      <c r="O16" s="13" t="s">
        <v>644</v>
      </c>
      <c r="P16" s="13" t="s">
        <v>604</v>
      </c>
      <c r="Q16" s="13" t="s">
        <v>607</v>
      </c>
      <c r="R16" s="13" t="s">
        <v>615</v>
      </c>
      <c r="S16" s="15" t="s">
        <v>619</v>
      </c>
      <c r="T16" s="13" t="s">
        <v>645</v>
      </c>
      <c r="U16" s="13" t="s">
        <v>55</v>
      </c>
    </row>
    <row r="17" spans="1:21" s="13" customFormat="1" x14ac:dyDescent="0.25">
      <c r="A17" s="13" t="s">
        <v>642</v>
      </c>
      <c r="B17" s="13" t="s">
        <v>628</v>
      </c>
      <c r="C17" s="13" t="s">
        <v>641</v>
      </c>
      <c r="D17" s="13">
        <v>0.5</v>
      </c>
      <c r="E17" s="13" t="s">
        <v>91</v>
      </c>
      <c r="F17" s="13" t="s">
        <v>648</v>
      </c>
      <c r="G17" s="14">
        <v>0.67</v>
      </c>
      <c r="H17" s="13" t="s">
        <v>662</v>
      </c>
      <c r="I17" s="13" t="s">
        <v>90</v>
      </c>
      <c r="J17" s="13" t="s">
        <v>105</v>
      </c>
      <c r="K17" s="13" t="s">
        <v>16</v>
      </c>
      <c r="L17" s="13" t="s">
        <v>647</v>
      </c>
      <c r="M17" s="13" t="s">
        <v>653</v>
      </c>
      <c r="N17" s="13" t="s">
        <v>597</v>
      </c>
      <c r="O17" s="13" t="s">
        <v>644</v>
      </c>
      <c r="P17" s="13" t="s">
        <v>604</v>
      </c>
      <c r="Q17" s="13" t="s">
        <v>607</v>
      </c>
      <c r="R17" s="13" t="s">
        <v>615</v>
      </c>
      <c r="S17" s="13" t="s">
        <v>617</v>
      </c>
      <c r="T17" s="15" t="s">
        <v>620</v>
      </c>
      <c r="U17" s="13" t="s">
        <v>55</v>
      </c>
    </row>
    <row r="18" spans="1:21" s="13" customFormat="1" x14ac:dyDescent="0.25">
      <c r="A18" s="13" t="s">
        <v>642</v>
      </c>
      <c r="B18" s="13" t="s">
        <v>628</v>
      </c>
      <c r="C18" s="13" t="s">
        <v>641</v>
      </c>
      <c r="D18" s="13">
        <v>0.5</v>
      </c>
      <c r="E18" s="13" t="s">
        <v>91</v>
      </c>
      <c r="F18" s="13" t="s">
        <v>658</v>
      </c>
      <c r="G18" s="14">
        <v>0.33</v>
      </c>
      <c r="H18" s="13" t="s">
        <v>621</v>
      </c>
      <c r="I18" s="13" t="s">
        <v>90</v>
      </c>
      <c r="J18" s="13" t="s">
        <v>105</v>
      </c>
      <c r="K18" s="13" t="s">
        <v>16</v>
      </c>
      <c r="L18" s="13" t="s">
        <v>647</v>
      </c>
      <c r="M18" s="13" t="s">
        <v>653</v>
      </c>
      <c r="N18" s="13" t="s">
        <v>597</v>
      </c>
      <c r="O18" s="13" t="s">
        <v>644</v>
      </c>
      <c r="P18" s="13" t="s">
        <v>604</v>
      </c>
      <c r="Q18" s="13" t="s">
        <v>607</v>
      </c>
      <c r="R18" s="13" t="s">
        <v>615</v>
      </c>
      <c r="S18" s="13" t="s">
        <v>617</v>
      </c>
      <c r="T18" s="15" t="s">
        <v>663</v>
      </c>
      <c r="U18" s="13" t="s">
        <v>55</v>
      </c>
    </row>
    <row r="19" spans="1:21" s="13" customFormat="1" x14ac:dyDescent="0.25">
      <c r="A19" s="13" t="s">
        <v>642</v>
      </c>
      <c r="B19" s="13" t="s">
        <v>628</v>
      </c>
      <c r="C19" s="13" t="s">
        <v>641</v>
      </c>
      <c r="D19" s="13">
        <v>0.5</v>
      </c>
      <c r="E19" s="13" t="s">
        <v>91</v>
      </c>
      <c r="F19" s="13" t="s">
        <v>659</v>
      </c>
      <c r="G19" s="14">
        <v>0.25</v>
      </c>
      <c r="H19" s="13" t="s">
        <v>622</v>
      </c>
      <c r="I19" s="13" t="s">
        <v>90</v>
      </c>
      <c r="J19" s="13" t="s">
        <v>105</v>
      </c>
      <c r="K19" s="13" t="s">
        <v>16</v>
      </c>
      <c r="L19" s="13" t="s">
        <v>647</v>
      </c>
      <c r="M19" s="13" t="s">
        <v>653</v>
      </c>
      <c r="N19" s="13" t="s">
        <v>597</v>
      </c>
      <c r="O19" s="13" t="s">
        <v>644</v>
      </c>
      <c r="P19" s="13" t="s">
        <v>604</v>
      </c>
      <c r="Q19" s="13" t="s">
        <v>607</v>
      </c>
      <c r="R19" s="13" t="s">
        <v>615</v>
      </c>
      <c r="S19" s="13" t="s">
        <v>617</v>
      </c>
      <c r="T19" s="13" t="s">
        <v>645</v>
      </c>
      <c r="U19" s="15" t="s">
        <v>568</v>
      </c>
    </row>
    <row r="20" spans="1:21" s="10" customFormat="1" x14ac:dyDescent="0.25">
      <c r="A20" s="10" t="s">
        <v>669</v>
      </c>
      <c r="B20" s="10" t="s">
        <v>630</v>
      </c>
      <c r="C20" s="10" t="s">
        <v>671</v>
      </c>
      <c r="D20" s="10">
        <v>0.5</v>
      </c>
      <c r="E20" s="10" t="s">
        <v>91</v>
      </c>
      <c r="F20" s="10" t="s">
        <v>18</v>
      </c>
      <c r="G20" s="11">
        <v>1</v>
      </c>
      <c r="H20" s="10" t="s">
        <v>652</v>
      </c>
      <c r="I20" s="10" t="s">
        <v>90</v>
      </c>
      <c r="J20" s="10" t="s">
        <v>105</v>
      </c>
      <c r="K20" s="10" t="s">
        <v>16</v>
      </c>
      <c r="L20" s="10" t="s">
        <v>664</v>
      </c>
      <c r="M20" s="10" t="s">
        <v>653</v>
      </c>
      <c r="N20" s="10" t="s">
        <v>597</v>
      </c>
      <c r="O20" s="10" t="s">
        <v>644</v>
      </c>
      <c r="P20" s="10" t="s">
        <v>604</v>
      </c>
      <c r="Q20" s="10" t="s">
        <v>607</v>
      </c>
      <c r="R20" s="10" t="s">
        <v>615</v>
      </c>
      <c r="S20" s="10" t="s">
        <v>617</v>
      </c>
      <c r="T20" s="10" t="s">
        <v>645</v>
      </c>
      <c r="U20" s="10" t="s">
        <v>55</v>
      </c>
    </row>
    <row r="21" spans="1:21" s="10" customFormat="1" x14ac:dyDescent="0.25">
      <c r="A21" s="10" t="s">
        <v>669</v>
      </c>
      <c r="B21" s="10" t="s">
        <v>630</v>
      </c>
      <c r="C21" s="10" t="s">
        <v>671</v>
      </c>
      <c r="D21" s="10">
        <v>0.5</v>
      </c>
      <c r="E21" s="10" t="s">
        <v>91</v>
      </c>
      <c r="F21" s="10" t="s">
        <v>21</v>
      </c>
      <c r="G21" s="11">
        <v>0.75</v>
      </c>
      <c r="H21" s="10" t="s">
        <v>30</v>
      </c>
      <c r="I21" s="10" t="s">
        <v>90</v>
      </c>
      <c r="J21" s="10" t="s">
        <v>105</v>
      </c>
      <c r="K21" s="10" t="s">
        <v>28</v>
      </c>
      <c r="L21" s="10" t="s">
        <v>664</v>
      </c>
      <c r="M21" s="10" t="s">
        <v>653</v>
      </c>
      <c r="N21" s="10" t="s">
        <v>597</v>
      </c>
      <c r="O21" s="10" t="s">
        <v>644</v>
      </c>
      <c r="P21" s="10" t="s">
        <v>604</v>
      </c>
      <c r="Q21" s="10" t="s">
        <v>607</v>
      </c>
      <c r="R21" s="10" t="s">
        <v>615</v>
      </c>
      <c r="S21" s="10" t="s">
        <v>617</v>
      </c>
      <c r="T21" s="10" t="s">
        <v>645</v>
      </c>
      <c r="U21" s="10" t="s">
        <v>55</v>
      </c>
    </row>
    <row r="22" spans="1:21" s="10" customFormat="1" x14ac:dyDescent="0.25">
      <c r="A22" s="10" t="s">
        <v>669</v>
      </c>
      <c r="B22" s="10" t="s">
        <v>630</v>
      </c>
      <c r="C22" s="10" t="s">
        <v>671</v>
      </c>
      <c r="D22" s="10">
        <v>0.5</v>
      </c>
      <c r="E22" s="10" t="s">
        <v>91</v>
      </c>
      <c r="F22" s="10" t="s">
        <v>22</v>
      </c>
      <c r="G22" s="11">
        <v>0.5</v>
      </c>
      <c r="H22" s="10" t="s">
        <v>31</v>
      </c>
      <c r="I22" s="10" t="s">
        <v>90</v>
      </c>
      <c r="J22" s="10" t="s">
        <v>105</v>
      </c>
      <c r="K22" s="10" t="s">
        <v>29</v>
      </c>
      <c r="L22" s="10" t="s">
        <v>664</v>
      </c>
      <c r="M22" s="10" t="s">
        <v>653</v>
      </c>
      <c r="N22" s="10" t="s">
        <v>597</v>
      </c>
      <c r="O22" s="10" t="s">
        <v>644</v>
      </c>
      <c r="P22" s="10" t="s">
        <v>604</v>
      </c>
      <c r="Q22" s="10" t="s">
        <v>607</v>
      </c>
      <c r="R22" s="10" t="s">
        <v>615</v>
      </c>
      <c r="S22" s="10" t="s">
        <v>617</v>
      </c>
      <c r="T22" s="10" t="s">
        <v>645</v>
      </c>
      <c r="U22" s="10" t="s">
        <v>55</v>
      </c>
    </row>
    <row r="23" spans="1:21" s="10" customFormat="1" x14ac:dyDescent="0.25">
      <c r="A23" s="10" t="s">
        <v>669</v>
      </c>
      <c r="B23" s="10" t="s">
        <v>630</v>
      </c>
      <c r="C23" s="10" t="s">
        <v>671</v>
      </c>
      <c r="D23" s="10">
        <v>0.5</v>
      </c>
      <c r="E23" s="10" t="s">
        <v>91</v>
      </c>
      <c r="F23" s="10" t="s">
        <v>23</v>
      </c>
      <c r="G23" s="11">
        <v>0.67</v>
      </c>
      <c r="H23" s="10" t="s">
        <v>646</v>
      </c>
      <c r="I23" s="10" t="s">
        <v>90</v>
      </c>
      <c r="J23" s="10" t="s">
        <v>105</v>
      </c>
      <c r="K23" s="10" t="s">
        <v>16</v>
      </c>
      <c r="L23" s="10" t="s">
        <v>664</v>
      </c>
      <c r="M23" s="10" t="s">
        <v>653</v>
      </c>
      <c r="N23" s="12" t="s">
        <v>598</v>
      </c>
      <c r="O23" s="10" t="s">
        <v>644</v>
      </c>
      <c r="P23" s="10" t="s">
        <v>604</v>
      </c>
      <c r="Q23" s="10" t="s">
        <v>607</v>
      </c>
      <c r="R23" s="10" t="s">
        <v>615</v>
      </c>
      <c r="S23" s="10" t="s">
        <v>617</v>
      </c>
      <c r="T23" s="10" t="s">
        <v>645</v>
      </c>
      <c r="U23" s="10" t="s">
        <v>55</v>
      </c>
    </row>
    <row r="24" spans="1:21" s="10" customFormat="1" x14ac:dyDescent="0.25">
      <c r="A24" s="10" t="s">
        <v>669</v>
      </c>
      <c r="B24" s="10" t="s">
        <v>630</v>
      </c>
      <c r="C24" s="10" t="s">
        <v>671</v>
      </c>
      <c r="D24" s="10">
        <v>0.5</v>
      </c>
      <c r="E24" s="10" t="s">
        <v>91</v>
      </c>
      <c r="F24" s="10" t="s">
        <v>24</v>
      </c>
      <c r="G24" s="11">
        <v>0.33</v>
      </c>
      <c r="H24" s="10" t="s">
        <v>666</v>
      </c>
      <c r="I24" s="10" t="s">
        <v>90</v>
      </c>
      <c r="J24" s="10" t="s">
        <v>105</v>
      </c>
      <c r="K24" s="10" t="s">
        <v>16</v>
      </c>
      <c r="L24" s="12" t="s">
        <v>665</v>
      </c>
      <c r="M24" s="10" t="s">
        <v>653</v>
      </c>
      <c r="N24" s="10" t="s">
        <v>597</v>
      </c>
      <c r="O24" s="10" t="s">
        <v>644</v>
      </c>
      <c r="P24" s="10" t="s">
        <v>604</v>
      </c>
      <c r="Q24" s="10" t="s">
        <v>607</v>
      </c>
      <c r="R24" s="10" t="s">
        <v>615</v>
      </c>
      <c r="S24" s="10" t="s">
        <v>617</v>
      </c>
      <c r="T24" s="10" t="s">
        <v>645</v>
      </c>
      <c r="U24" s="10" t="s">
        <v>55</v>
      </c>
    </row>
    <row r="25" spans="1:21" s="10" customFormat="1" x14ac:dyDescent="0.25">
      <c r="A25" s="10" t="s">
        <v>669</v>
      </c>
      <c r="B25" s="10" t="s">
        <v>630</v>
      </c>
      <c r="C25" s="10" t="s">
        <v>671</v>
      </c>
      <c r="D25" s="10">
        <v>0.5</v>
      </c>
      <c r="E25" s="10" t="s">
        <v>91</v>
      </c>
      <c r="F25" s="10" t="s">
        <v>25</v>
      </c>
      <c r="G25" s="11">
        <v>0.67</v>
      </c>
      <c r="H25" s="10" t="s">
        <v>655</v>
      </c>
      <c r="I25" s="10" t="s">
        <v>90</v>
      </c>
      <c r="J25" s="10" t="s">
        <v>105</v>
      </c>
      <c r="K25" s="10" t="s">
        <v>16</v>
      </c>
      <c r="L25" s="10" t="s">
        <v>664</v>
      </c>
      <c r="M25" s="12" t="s">
        <v>599</v>
      </c>
      <c r="N25" s="10" t="s">
        <v>597</v>
      </c>
      <c r="O25" s="10" t="s">
        <v>644</v>
      </c>
      <c r="P25" s="10" t="s">
        <v>604</v>
      </c>
      <c r="Q25" s="10" t="s">
        <v>607</v>
      </c>
      <c r="R25" s="10" t="s">
        <v>615</v>
      </c>
      <c r="S25" s="10" t="s">
        <v>617</v>
      </c>
      <c r="T25" s="10" t="s">
        <v>645</v>
      </c>
      <c r="U25" s="10" t="s">
        <v>55</v>
      </c>
    </row>
    <row r="26" spans="1:21" s="10" customFormat="1" x14ac:dyDescent="0.25">
      <c r="A26" s="10" t="s">
        <v>669</v>
      </c>
      <c r="B26" s="10" t="s">
        <v>630</v>
      </c>
      <c r="C26" s="10" t="s">
        <v>671</v>
      </c>
      <c r="D26" s="10">
        <v>0.5</v>
      </c>
      <c r="E26" s="10" t="s">
        <v>91</v>
      </c>
      <c r="F26" s="10" t="s">
        <v>36</v>
      </c>
      <c r="G26" s="11">
        <v>0.33</v>
      </c>
      <c r="H26" s="10" t="s">
        <v>654</v>
      </c>
      <c r="I26" s="10" t="s">
        <v>90</v>
      </c>
      <c r="J26" s="10" t="s">
        <v>105</v>
      </c>
      <c r="K26" s="10" t="s">
        <v>16</v>
      </c>
      <c r="L26" s="10" t="s">
        <v>664</v>
      </c>
      <c r="M26" s="12" t="s">
        <v>600</v>
      </c>
      <c r="N26" s="10" t="s">
        <v>597</v>
      </c>
      <c r="O26" s="10" t="s">
        <v>644</v>
      </c>
      <c r="P26" s="10" t="s">
        <v>604</v>
      </c>
      <c r="Q26" s="10" t="s">
        <v>607</v>
      </c>
      <c r="R26" s="10" t="s">
        <v>615</v>
      </c>
      <c r="S26" s="10" t="s">
        <v>617</v>
      </c>
      <c r="T26" s="10" t="s">
        <v>645</v>
      </c>
      <c r="U26" s="10" t="s">
        <v>55</v>
      </c>
    </row>
    <row r="27" spans="1:21" s="10" customFormat="1" x14ac:dyDescent="0.25">
      <c r="A27" s="10" t="s">
        <v>669</v>
      </c>
      <c r="B27" s="10" t="s">
        <v>630</v>
      </c>
      <c r="C27" s="10" t="s">
        <v>671</v>
      </c>
      <c r="F27" s="10" t="s">
        <v>37</v>
      </c>
      <c r="G27" s="11">
        <v>0.67</v>
      </c>
      <c r="H27" s="10" t="s">
        <v>657</v>
      </c>
      <c r="I27" s="10" t="s">
        <v>90</v>
      </c>
      <c r="J27" s="10" t="s">
        <v>105</v>
      </c>
      <c r="K27" s="10" t="s">
        <v>16</v>
      </c>
      <c r="L27" s="10" t="s">
        <v>664</v>
      </c>
      <c r="M27" s="10" t="s">
        <v>653</v>
      </c>
      <c r="N27" s="10" t="s">
        <v>597</v>
      </c>
      <c r="O27" s="12" t="s">
        <v>643</v>
      </c>
      <c r="P27" s="10" t="s">
        <v>604</v>
      </c>
      <c r="Q27" s="10" t="s">
        <v>607</v>
      </c>
      <c r="R27" s="10" t="s">
        <v>615</v>
      </c>
      <c r="S27" s="10" t="s">
        <v>617</v>
      </c>
      <c r="T27" s="10" t="s">
        <v>645</v>
      </c>
      <c r="U27" s="10" t="s">
        <v>55</v>
      </c>
    </row>
    <row r="28" spans="1:21" s="10" customFormat="1" x14ac:dyDescent="0.25">
      <c r="A28" s="10" t="s">
        <v>669</v>
      </c>
      <c r="B28" s="10" t="s">
        <v>630</v>
      </c>
      <c r="C28" s="10" t="s">
        <v>671</v>
      </c>
      <c r="D28" s="10">
        <v>0.5</v>
      </c>
      <c r="E28" s="10" t="s">
        <v>91</v>
      </c>
      <c r="F28" s="10" t="s">
        <v>38</v>
      </c>
      <c r="G28" s="11">
        <v>0.5</v>
      </c>
      <c r="H28" s="10" t="s">
        <v>603</v>
      </c>
      <c r="I28" s="10" t="s">
        <v>90</v>
      </c>
      <c r="J28" s="10" t="s">
        <v>105</v>
      </c>
      <c r="K28" s="10" t="s">
        <v>16</v>
      </c>
      <c r="L28" s="10" t="s">
        <v>664</v>
      </c>
      <c r="M28" s="10" t="s">
        <v>653</v>
      </c>
      <c r="N28" s="10" t="s">
        <v>597</v>
      </c>
      <c r="O28" s="12" t="s">
        <v>656</v>
      </c>
      <c r="P28" s="10" t="s">
        <v>604</v>
      </c>
      <c r="Q28" s="10" t="s">
        <v>607</v>
      </c>
      <c r="R28" s="10" t="s">
        <v>615</v>
      </c>
      <c r="S28" s="10" t="s">
        <v>617</v>
      </c>
      <c r="T28" s="10" t="s">
        <v>645</v>
      </c>
      <c r="U28" s="10" t="s">
        <v>55</v>
      </c>
    </row>
    <row r="29" spans="1:21" s="10" customFormat="1" x14ac:dyDescent="0.25">
      <c r="A29" s="10" t="s">
        <v>669</v>
      </c>
      <c r="B29" s="10" t="s">
        <v>630</v>
      </c>
      <c r="C29" s="10" t="s">
        <v>671</v>
      </c>
      <c r="D29" s="10">
        <v>0.5</v>
      </c>
      <c r="E29" s="10" t="s">
        <v>91</v>
      </c>
      <c r="F29" s="10" t="s">
        <v>64</v>
      </c>
      <c r="G29" s="11">
        <v>0.25</v>
      </c>
      <c r="H29" s="10" t="s">
        <v>660</v>
      </c>
      <c r="I29" s="10" t="s">
        <v>90</v>
      </c>
      <c r="J29" s="10" t="s">
        <v>105</v>
      </c>
      <c r="K29" s="10" t="s">
        <v>16</v>
      </c>
      <c r="L29" s="10" t="s">
        <v>664</v>
      </c>
      <c r="M29" s="10" t="s">
        <v>653</v>
      </c>
      <c r="N29" s="10" t="s">
        <v>597</v>
      </c>
      <c r="O29" s="12" t="s">
        <v>661</v>
      </c>
      <c r="P29" s="10" t="s">
        <v>604</v>
      </c>
      <c r="Q29" s="10" t="s">
        <v>607</v>
      </c>
      <c r="R29" s="10" t="s">
        <v>615</v>
      </c>
      <c r="S29" s="10" t="s">
        <v>617</v>
      </c>
      <c r="T29" s="10" t="s">
        <v>645</v>
      </c>
      <c r="U29" s="10" t="s">
        <v>55</v>
      </c>
    </row>
    <row r="30" spans="1:21" s="10" customFormat="1" x14ac:dyDescent="0.25">
      <c r="A30" s="10" t="s">
        <v>669</v>
      </c>
      <c r="B30" s="10" t="s">
        <v>630</v>
      </c>
      <c r="C30" s="10" t="s">
        <v>671</v>
      </c>
      <c r="D30" s="10">
        <v>0.5</v>
      </c>
      <c r="E30" s="10" t="s">
        <v>91</v>
      </c>
      <c r="F30" s="10" t="s">
        <v>111</v>
      </c>
      <c r="G30" s="11">
        <v>0.5</v>
      </c>
      <c r="H30" s="10" t="s">
        <v>606</v>
      </c>
      <c r="I30" s="10" t="s">
        <v>90</v>
      </c>
      <c r="J30" s="10" t="s">
        <v>105</v>
      </c>
      <c r="K30" s="10" t="s">
        <v>16</v>
      </c>
      <c r="L30" s="10" t="s">
        <v>664</v>
      </c>
      <c r="M30" s="10" t="s">
        <v>653</v>
      </c>
      <c r="N30" s="10" t="s">
        <v>597</v>
      </c>
      <c r="O30" s="10" t="s">
        <v>644</v>
      </c>
      <c r="P30" s="12" t="s">
        <v>605</v>
      </c>
      <c r="Q30" s="10" t="s">
        <v>607</v>
      </c>
      <c r="R30" s="10" t="s">
        <v>615</v>
      </c>
      <c r="S30" s="10" t="s">
        <v>617</v>
      </c>
      <c r="T30" s="10" t="s">
        <v>645</v>
      </c>
      <c r="U30" s="10" t="s">
        <v>55</v>
      </c>
    </row>
    <row r="31" spans="1:21" s="10" customFormat="1" x14ac:dyDescent="0.25">
      <c r="A31" s="10" t="s">
        <v>669</v>
      </c>
      <c r="B31" s="10" t="s">
        <v>630</v>
      </c>
      <c r="C31" s="10" t="s">
        <v>671</v>
      </c>
      <c r="D31" s="10">
        <v>0.5</v>
      </c>
      <c r="E31" s="10" t="s">
        <v>91</v>
      </c>
      <c r="F31" s="10" t="s">
        <v>123</v>
      </c>
      <c r="G31" s="11">
        <v>0.1</v>
      </c>
      <c r="H31" s="10" t="s">
        <v>608</v>
      </c>
      <c r="I31" s="10" t="s">
        <v>90</v>
      </c>
      <c r="J31" s="10" t="s">
        <v>105</v>
      </c>
      <c r="K31" s="10" t="s">
        <v>16</v>
      </c>
      <c r="L31" s="10" t="s">
        <v>664</v>
      </c>
      <c r="M31" s="10" t="s">
        <v>653</v>
      </c>
      <c r="N31" s="10" t="s">
        <v>597</v>
      </c>
      <c r="O31" s="10" t="s">
        <v>644</v>
      </c>
      <c r="P31" s="10" t="s">
        <v>604</v>
      </c>
      <c r="Q31" s="12" t="s">
        <v>609</v>
      </c>
      <c r="R31" s="10" t="s">
        <v>615</v>
      </c>
      <c r="S31" s="10" t="s">
        <v>617</v>
      </c>
      <c r="T31" s="10" t="s">
        <v>645</v>
      </c>
      <c r="U31" s="10" t="s">
        <v>55</v>
      </c>
    </row>
    <row r="32" spans="1:21" s="10" customFormat="1" x14ac:dyDescent="0.25">
      <c r="A32" s="10" t="s">
        <v>669</v>
      </c>
      <c r="B32" s="10" t="s">
        <v>630</v>
      </c>
      <c r="C32" s="10" t="s">
        <v>671</v>
      </c>
      <c r="D32" s="10">
        <v>0.5</v>
      </c>
      <c r="E32" s="10" t="s">
        <v>91</v>
      </c>
      <c r="F32" s="10" t="s">
        <v>595</v>
      </c>
      <c r="G32" s="11">
        <v>0.75</v>
      </c>
      <c r="H32" s="10" t="s">
        <v>614</v>
      </c>
      <c r="I32" s="10" t="s">
        <v>90</v>
      </c>
      <c r="J32" s="10" t="s">
        <v>105</v>
      </c>
      <c r="K32" s="10" t="s">
        <v>16</v>
      </c>
      <c r="L32" s="10" t="s">
        <v>664</v>
      </c>
      <c r="M32" s="10" t="s">
        <v>653</v>
      </c>
      <c r="N32" s="10" t="s">
        <v>597</v>
      </c>
      <c r="O32" s="10" t="s">
        <v>644</v>
      </c>
      <c r="P32" s="10" t="s">
        <v>604</v>
      </c>
      <c r="Q32" s="10" t="s">
        <v>607</v>
      </c>
      <c r="R32" s="12" t="s">
        <v>616</v>
      </c>
      <c r="S32" s="10" t="s">
        <v>617</v>
      </c>
      <c r="T32" s="10" t="s">
        <v>645</v>
      </c>
      <c r="U32" s="10" t="s">
        <v>55</v>
      </c>
    </row>
    <row r="33" spans="1:21" s="10" customFormat="1" x14ac:dyDescent="0.25">
      <c r="A33" s="10" t="s">
        <v>669</v>
      </c>
      <c r="B33" s="10" t="s">
        <v>630</v>
      </c>
      <c r="C33" s="10" t="s">
        <v>671</v>
      </c>
      <c r="D33" s="10">
        <v>0.5</v>
      </c>
      <c r="E33" s="10" t="s">
        <v>91</v>
      </c>
      <c r="F33" s="10" t="s">
        <v>596</v>
      </c>
      <c r="G33" s="11">
        <v>0.1</v>
      </c>
      <c r="H33" s="10" t="s">
        <v>618</v>
      </c>
      <c r="I33" s="10" t="s">
        <v>90</v>
      </c>
      <c r="J33" s="10" t="s">
        <v>105</v>
      </c>
      <c r="K33" s="10" t="s">
        <v>16</v>
      </c>
      <c r="L33" s="10" t="s">
        <v>664</v>
      </c>
      <c r="M33" s="10" t="s">
        <v>653</v>
      </c>
      <c r="N33" s="10" t="s">
        <v>597</v>
      </c>
      <c r="O33" s="10" t="s">
        <v>644</v>
      </c>
      <c r="P33" s="10" t="s">
        <v>604</v>
      </c>
      <c r="Q33" s="10" t="s">
        <v>607</v>
      </c>
      <c r="R33" s="10" t="s">
        <v>615</v>
      </c>
      <c r="S33" s="12" t="s">
        <v>619</v>
      </c>
      <c r="T33" s="10" t="s">
        <v>645</v>
      </c>
      <c r="U33" s="10" t="s">
        <v>55</v>
      </c>
    </row>
    <row r="34" spans="1:21" s="10" customFormat="1" x14ac:dyDescent="0.25">
      <c r="A34" s="10" t="s">
        <v>669</v>
      </c>
      <c r="B34" s="10" t="s">
        <v>630</v>
      </c>
      <c r="C34" s="10" t="s">
        <v>671</v>
      </c>
      <c r="D34" s="10">
        <v>0.5</v>
      </c>
      <c r="E34" s="10" t="s">
        <v>91</v>
      </c>
      <c r="F34" s="10" t="s">
        <v>613</v>
      </c>
      <c r="G34" s="11">
        <v>0.67</v>
      </c>
      <c r="H34" s="10" t="s">
        <v>662</v>
      </c>
      <c r="I34" s="10" t="s">
        <v>90</v>
      </c>
      <c r="J34" s="10" t="s">
        <v>105</v>
      </c>
      <c r="K34" s="10" t="s">
        <v>16</v>
      </c>
      <c r="L34" s="10" t="s">
        <v>664</v>
      </c>
      <c r="M34" s="10" t="s">
        <v>653</v>
      </c>
      <c r="N34" s="10" t="s">
        <v>597</v>
      </c>
      <c r="O34" s="10" t="s">
        <v>644</v>
      </c>
      <c r="P34" s="10" t="s">
        <v>604</v>
      </c>
      <c r="Q34" s="10" t="s">
        <v>607</v>
      </c>
      <c r="R34" s="10" t="s">
        <v>615</v>
      </c>
      <c r="S34" s="10" t="s">
        <v>617</v>
      </c>
      <c r="T34" s="12" t="s">
        <v>620</v>
      </c>
      <c r="U34" s="10" t="s">
        <v>55</v>
      </c>
    </row>
    <row r="35" spans="1:21" s="10" customFormat="1" x14ac:dyDescent="0.25">
      <c r="A35" s="10" t="s">
        <v>669</v>
      </c>
      <c r="B35" s="10" t="s">
        <v>630</v>
      </c>
      <c r="C35" s="10" t="s">
        <v>671</v>
      </c>
      <c r="D35" s="10">
        <v>0.5</v>
      </c>
      <c r="E35" s="10" t="s">
        <v>91</v>
      </c>
      <c r="F35" s="10" t="s">
        <v>648</v>
      </c>
      <c r="G35" s="11">
        <v>0.33</v>
      </c>
      <c r="H35" s="10" t="s">
        <v>621</v>
      </c>
      <c r="I35" s="10" t="s">
        <v>90</v>
      </c>
      <c r="J35" s="10" t="s">
        <v>105</v>
      </c>
      <c r="K35" s="10" t="s">
        <v>16</v>
      </c>
      <c r="L35" s="10" t="s">
        <v>664</v>
      </c>
      <c r="M35" s="10" t="s">
        <v>653</v>
      </c>
      <c r="N35" s="10" t="s">
        <v>597</v>
      </c>
      <c r="O35" s="10" t="s">
        <v>644</v>
      </c>
      <c r="P35" s="10" t="s">
        <v>604</v>
      </c>
      <c r="Q35" s="10" t="s">
        <v>607</v>
      </c>
      <c r="R35" s="10" t="s">
        <v>615</v>
      </c>
      <c r="S35" s="10" t="s">
        <v>617</v>
      </c>
      <c r="T35" s="12" t="s">
        <v>663</v>
      </c>
      <c r="U35" s="10" t="s">
        <v>55</v>
      </c>
    </row>
    <row r="36" spans="1:21" s="10" customFormat="1" x14ac:dyDescent="0.25">
      <c r="A36" s="10" t="s">
        <v>669</v>
      </c>
      <c r="B36" s="10" t="s">
        <v>630</v>
      </c>
      <c r="C36" s="10" t="s">
        <v>671</v>
      </c>
      <c r="D36" s="10">
        <v>0.5</v>
      </c>
      <c r="E36" s="10" t="s">
        <v>91</v>
      </c>
      <c r="F36" s="10" t="s">
        <v>658</v>
      </c>
      <c r="G36" s="11">
        <v>0.25</v>
      </c>
      <c r="H36" s="10" t="s">
        <v>622</v>
      </c>
      <c r="I36" s="10" t="s">
        <v>90</v>
      </c>
      <c r="J36" s="10" t="s">
        <v>105</v>
      </c>
      <c r="K36" s="10" t="s">
        <v>16</v>
      </c>
      <c r="L36" s="10" t="s">
        <v>664</v>
      </c>
      <c r="M36" s="10" t="s">
        <v>653</v>
      </c>
      <c r="N36" s="10" t="s">
        <v>597</v>
      </c>
      <c r="O36" s="10" t="s">
        <v>644</v>
      </c>
      <c r="P36" s="10" t="s">
        <v>604</v>
      </c>
      <c r="Q36" s="10" t="s">
        <v>607</v>
      </c>
      <c r="R36" s="10" t="s">
        <v>615</v>
      </c>
      <c r="S36" s="10" t="s">
        <v>617</v>
      </c>
      <c r="T36" s="10" t="s">
        <v>645</v>
      </c>
      <c r="U36" s="12" t="s">
        <v>568</v>
      </c>
    </row>
    <row r="37" spans="1:21" s="13" customFormat="1" x14ac:dyDescent="0.25">
      <c r="A37" s="13" t="s">
        <v>670</v>
      </c>
      <c r="B37" s="13" t="s">
        <v>631</v>
      </c>
      <c r="C37" s="13" t="s">
        <v>672</v>
      </c>
      <c r="D37" s="13">
        <v>0.5</v>
      </c>
      <c r="E37" s="13" t="s">
        <v>91</v>
      </c>
      <c r="F37" s="13" t="s">
        <v>18</v>
      </c>
      <c r="G37" s="14">
        <v>1</v>
      </c>
      <c r="H37" s="13" t="s">
        <v>652</v>
      </c>
      <c r="I37" s="13" t="s">
        <v>90</v>
      </c>
      <c r="J37" s="13" t="s">
        <v>105</v>
      </c>
      <c r="K37" s="13" t="s">
        <v>16</v>
      </c>
      <c r="L37" s="13" t="s">
        <v>668</v>
      </c>
      <c r="M37" s="13" t="s">
        <v>653</v>
      </c>
      <c r="N37" s="13" t="s">
        <v>597</v>
      </c>
      <c r="O37" s="13" t="s">
        <v>644</v>
      </c>
      <c r="P37" s="13" t="s">
        <v>604</v>
      </c>
      <c r="Q37" s="13" t="s">
        <v>607</v>
      </c>
      <c r="R37" s="13" t="s">
        <v>615</v>
      </c>
      <c r="S37" s="13" t="s">
        <v>617</v>
      </c>
      <c r="T37" s="13" t="s">
        <v>645</v>
      </c>
      <c r="U37" s="13" t="s">
        <v>55</v>
      </c>
    </row>
    <row r="38" spans="1:21" s="13" customFormat="1" x14ac:dyDescent="0.25">
      <c r="A38" s="13" t="s">
        <v>670</v>
      </c>
      <c r="B38" s="13" t="s">
        <v>631</v>
      </c>
      <c r="C38" s="13" t="s">
        <v>672</v>
      </c>
      <c r="D38" s="13">
        <v>0.5</v>
      </c>
      <c r="E38" s="13" t="s">
        <v>91</v>
      </c>
      <c r="F38" s="13" t="s">
        <v>21</v>
      </c>
      <c r="G38" s="14">
        <v>0.75</v>
      </c>
      <c r="H38" s="13" t="s">
        <v>30</v>
      </c>
      <c r="I38" s="13" t="s">
        <v>90</v>
      </c>
      <c r="J38" s="13" t="s">
        <v>105</v>
      </c>
      <c r="K38" s="13" t="s">
        <v>28</v>
      </c>
      <c r="L38" s="13" t="s">
        <v>668</v>
      </c>
      <c r="M38" s="13" t="s">
        <v>653</v>
      </c>
      <c r="N38" s="13" t="s">
        <v>597</v>
      </c>
      <c r="O38" s="13" t="s">
        <v>644</v>
      </c>
      <c r="P38" s="13" t="s">
        <v>604</v>
      </c>
      <c r="Q38" s="13" t="s">
        <v>607</v>
      </c>
      <c r="R38" s="13" t="s">
        <v>615</v>
      </c>
      <c r="S38" s="13" t="s">
        <v>617</v>
      </c>
      <c r="T38" s="13" t="s">
        <v>645</v>
      </c>
      <c r="U38" s="13" t="s">
        <v>55</v>
      </c>
    </row>
    <row r="39" spans="1:21" s="13" customFormat="1" x14ac:dyDescent="0.25">
      <c r="A39" s="13" t="s">
        <v>670</v>
      </c>
      <c r="B39" s="13" t="s">
        <v>631</v>
      </c>
      <c r="C39" s="13" t="s">
        <v>672</v>
      </c>
      <c r="D39" s="13">
        <v>0.5</v>
      </c>
      <c r="E39" s="13" t="s">
        <v>91</v>
      </c>
      <c r="F39" s="13" t="s">
        <v>22</v>
      </c>
      <c r="G39" s="14">
        <v>0.5</v>
      </c>
      <c r="H39" s="13" t="s">
        <v>31</v>
      </c>
      <c r="I39" s="13" t="s">
        <v>90</v>
      </c>
      <c r="J39" s="13" t="s">
        <v>105</v>
      </c>
      <c r="K39" s="13" t="s">
        <v>29</v>
      </c>
      <c r="L39" s="13" t="s">
        <v>668</v>
      </c>
      <c r="M39" s="13" t="s">
        <v>653</v>
      </c>
      <c r="N39" s="13" t="s">
        <v>597</v>
      </c>
      <c r="O39" s="13" t="s">
        <v>644</v>
      </c>
      <c r="P39" s="13" t="s">
        <v>604</v>
      </c>
      <c r="Q39" s="13" t="s">
        <v>607</v>
      </c>
      <c r="R39" s="13" t="s">
        <v>615</v>
      </c>
      <c r="S39" s="13" t="s">
        <v>617</v>
      </c>
      <c r="T39" s="13" t="s">
        <v>645</v>
      </c>
      <c r="U39" s="13" t="s">
        <v>55</v>
      </c>
    </row>
    <row r="40" spans="1:21" s="13" customFormat="1" x14ac:dyDescent="0.25">
      <c r="A40" s="13" t="s">
        <v>670</v>
      </c>
      <c r="B40" s="13" t="s">
        <v>631</v>
      </c>
      <c r="C40" s="13" t="s">
        <v>672</v>
      </c>
      <c r="D40" s="13">
        <v>0.5</v>
      </c>
      <c r="E40" s="13" t="s">
        <v>91</v>
      </c>
      <c r="F40" s="13" t="s">
        <v>23</v>
      </c>
      <c r="G40" s="14">
        <v>0.67</v>
      </c>
      <c r="H40" s="13" t="s">
        <v>646</v>
      </c>
      <c r="I40" s="13" t="s">
        <v>90</v>
      </c>
      <c r="J40" s="13" t="s">
        <v>105</v>
      </c>
      <c r="K40" s="13" t="s">
        <v>16</v>
      </c>
      <c r="L40" s="13" t="s">
        <v>668</v>
      </c>
      <c r="M40" s="13" t="s">
        <v>653</v>
      </c>
      <c r="N40" s="15" t="s">
        <v>598</v>
      </c>
      <c r="O40" s="13" t="s">
        <v>644</v>
      </c>
      <c r="P40" s="13" t="s">
        <v>604</v>
      </c>
      <c r="Q40" s="13" t="s">
        <v>607</v>
      </c>
      <c r="R40" s="13" t="s">
        <v>615</v>
      </c>
      <c r="S40" s="13" t="s">
        <v>617</v>
      </c>
      <c r="T40" s="13" t="s">
        <v>645</v>
      </c>
      <c r="U40" s="13" t="s">
        <v>55</v>
      </c>
    </row>
    <row r="41" spans="1:21" s="13" customFormat="1" x14ac:dyDescent="0.25">
      <c r="A41" s="13" t="s">
        <v>670</v>
      </c>
      <c r="B41" s="13" t="s">
        <v>631</v>
      </c>
      <c r="C41" s="13" t="s">
        <v>672</v>
      </c>
      <c r="D41" s="13">
        <v>0.5</v>
      </c>
      <c r="E41" s="13" t="s">
        <v>91</v>
      </c>
      <c r="F41" s="13" t="s">
        <v>24</v>
      </c>
      <c r="G41" s="14">
        <v>0.33</v>
      </c>
      <c r="H41" s="13" t="s">
        <v>667</v>
      </c>
      <c r="I41" s="13" t="s">
        <v>90</v>
      </c>
      <c r="J41" s="13" t="s">
        <v>105</v>
      </c>
      <c r="K41" s="13" t="s">
        <v>16</v>
      </c>
      <c r="L41" s="15" t="s">
        <v>665</v>
      </c>
      <c r="M41" s="13" t="s">
        <v>653</v>
      </c>
      <c r="N41" s="13" t="s">
        <v>597</v>
      </c>
      <c r="O41" s="13" t="s">
        <v>644</v>
      </c>
      <c r="P41" s="13" t="s">
        <v>604</v>
      </c>
      <c r="Q41" s="13" t="s">
        <v>607</v>
      </c>
      <c r="R41" s="13" t="s">
        <v>615</v>
      </c>
      <c r="S41" s="13" t="s">
        <v>617</v>
      </c>
      <c r="T41" s="13" t="s">
        <v>645</v>
      </c>
      <c r="U41" s="13" t="s">
        <v>55</v>
      </c>
    </row>
    <row r="42" spans="1:21" s="13" customFormat="1" x14ac:dyDescent="0.25">
      <c r="A42" s="13" t="s">
        <v>670</v>
      </c>
      <c r="B42" s="13" t="s">
        <v>631</v>
      </c>
      <c r="C42" s="13" t="s">
        <v>672</v>
      </c>
      <c r="D42" s="13">
        <v>0.5</v>
      </c>
      <c r="E42" s="13" t="s">
        <v>91</v>
      </c>
      <c r="F42" s="13" t="s">
        <v>25</v>
      </c>
      <c r="G42" s="14">
        <v>0.67</v>
      </c>
      <c r="H42" s="13" t="s">
        <v>655</v>
      </c>
      <c r="I42" s="13" t="s">
        <v>90</v>
      </c>
      <c r="J42" s="13" t="s">
        <v>105</v>
      </c>
      <c r="K42" s="13" t="s">
        <v>16</v>
      </c>
      <c r="L42" s="13" t="s">
        <v>668</v>
      </c>
      <c r="M42" s="15" t="s">
        <v>599</v>
      </c>
      <c r="N42" s="13" t="s">
        <v>597</v>
      </c>
      <c r="O42" s="13" t="s">
        <v>644</v>
      </c>
      <c r="P42" s="13" t="s">
        <v>604</v>
      </c>
      <c r="Q42" s="13" t="s">
        <v>607</v>
      </c>
      <c r="R42" s="13" t="s">
        <v>615</v>
      </c>
      <c r="S42" s="13" t="s">
        <v>617</v>
      </c>
      <c r="T42" s="13" t="s">
        <v>645</v>
      </c>
      <c r="U42" s="13" t="s">
        <v>55</v>
      </c>
    </row>
    <row r="43" spans="1:21" s="13" customFormat="1" x14ac:dyDescent="0.25">
      <c r="A43" s="13" t="s">
        <v>670</v>
      </c>
      <c r="B43" s="13" t="s">
        <v>631</v>
      </c>
      <c r="C43" s="13" t="s">
        <v>672</v>
      </c>
      <c r="D43" s="13">
        <v>0.5</v>
      </c>
      <c r="E43" s="13" t="s">
        <v>91</v>
      </c>
      <c r="F43" s="13" t="s">
        <v>36</v>
      </c>
      <c r="G43" s="14">
        <v>0.33</v>
      </c>
      <c r="H43" s="13" t="s">
        <v>654</v>
      </c>
      <c r="I43" s="13" t="s">
        <v>90</v>
      </c>
      <c r="J43" s="13" t="s">
        <v>105</v>
      </c>
      <c r="K43" s="13" t="s">
        <v>16</v>
      </c>
      <c r="L43" s="13" t="s">
        <v>668</v>
      </c>
      <c r="M43" s="15" t="s">
        <v>600</v>
      </c>
      <c r="N43" s="13" t="s">
        <v>597</v>
      </c>
      <c r="O43" s="13" t="s">
        <v>644</v>
      </c>
      <c r="P43" s="13" t="s">
        <v>604</v>
      </c>
      <c r="Q43" s="13" t="s">
        <v>607</v>
      </c>
      <c r="R43" s="13" t="s">
        <v>615</v>
      </c>
      <c r="S43" s="13" t="s">
        <v>617</v>
      </c>
      <c r="T43" s="13" t="s">
        <v>645</v>
      </c>
      <c r="U43" s="13" t="s">
        <v>55</v>
      </c>
    </row>
    <row r="44" spans="1:21" s="13" customFormat="1" x14ac:dyDescent="0.25">
      <c r="A44" s="13" t="s">
        <v>670</v>
      </c>
      <c r="B44" s="13" t="s">
        <v>631</v>
      </c>
      <c r="C44" s="13" t="s">
        <v>672</v>
      </c>
      <c r="F44" s="13" t="s">
        <v>37</v>
      </c>
      <c r="G44" s="14">
        <v>0.67</v>
      </c>
      <c r="H44" s="13" t="s">
        <v>657</v>
      </c>
      <c r="I44" s="13" t="s">
        <v>90</v>
      </c>
      <c r="J44" s="13" t="s">
        <v>105</v>
      </c>
      <c r="K44" s="13" t="s">
        <v>16</v>
      </c>
      <c r="L44" s="13" t="s">
        <v>668</v>
      </c>
      <c r="M44" s="13" t="s">
        <v>653</v>
      </c>
      <c r="N44" s="13" t="s">
        <v>597</v>
      </c>
      <c r="O44" s="15" t="s">
        <v>643</v>
      </c>
      <c r="P44" s="13" t="s">
        <v>604</v>
      </c>
      <c r="Q44" s="13" t="s">
        <v>607</v>
      </c>
      <c r="R44" s="13" t="s">
        <v>615</v>
      </c>
      <c r="S44" s="13" t="s">
        <v>617</v>
      </c>
      <c r="T44" s="13" t="s">
        <v>645</v>
      </c>
      <c r="U44" s="13" t="s">
        <v>55</v>
      </c>
    </row>
    <row r="45" spans="1:21" s="13" customFormat="1" x14ac:dyDescent="0.25">
      <c r="A45" s="13" t="s">
        <v>670</v>
      </c>
      <c r="B45" s="13" t="s">
        <v>631</v>
      </c>
      <c r="C45" s="13" t="s">
        <v>672</v>
      </c>
      <c r="D45" s="13">
        <v>0.5</v>
      </c>
      <c r="E45" s="13" t="s">
        <v>91</v>
      </c>
      <c r="F45" s="13" t="s">
        <v>38</v>
      </c>
      <c r="G45" s="14">
        <v>0.5</v>
      </c>
      <c r="H45" s="13" t="s">
        <v>603</v>
      </c>
      <c r="I45" s="13" t="s">
        <v>90</v>
      </c>
      <c r="J45" s="13" t="s">
        <v>105</v>
      </c>
      <c r="K45" s="13" t="s">
        <v>16</v>
      </c>
      <c r="L45" s="13" t="s">
        <v>668</v>
      </c>
      <c r="M45" s="13" t="s">
        <v>653</v>
      </c>
      <c r="N45" s="13" t="s">
        <v>597</v>
      </c>
      <c r="O45" s="15" t="s">
        <v>656</v>
      </c>
      <c r="P45" s="13" t="s">
        <v>604</v>
      </c>
      <c r="Q45" s="13" t="s">
        <v>607</v>
      </c>
      <c r="R45" s="13" t="s">
        <v>615</v>
      </c>
      <c r="S45" s="13" t="s">
        <v>617</v>
      </c>
      <c r="T45" s="13" t="s">
        <v>645</v>
      </c>
      <c r="U45" s="13" t="s">
        <v>55</v>
      </c>
    </row>
    <row r="46" spans="1:21" s="13" customFormat="1" x14ac:dyDescent="0.25">
      <c r="A46" s="13" t="s">
        <v>670</v>
      </c>
      <c r="B46" s="13" t="s">
        <v>631</v>
      </c>
      <c r="C46" s="13" t="s">
        <v>672</v>
      </c>
      <c r="D46" s="13">
        <v>0.5</v>
      </c>
      <c r="E46" s="13" t="s">
        <v>91</v>
      </c>
      <c r="F46" s="13" t="s">
        <v>64</v>
      </c>
      <c r="G46" s="14">
        <v>0.25</v>
      </c>
      <c r="H46" s="13" t="s">
        <v>660</v>
      </c>
      <c r="I46" s="13" t="s">
        <v>90</v>
      </c>
      <c r="J46" s="13" t="s">
        <v>105</v>
      </c>
      <c r="K46" s="13" t="s">
        <v>16</v>
      </c>
      <c r="L46" s="13" t="s">
        <v>668</v>
      </c>
      <c r="M46" s="13" t="s">
        <v>653</v>
      </c>
      <c r="N46" s="13" t="s">
        <v>597</v>
      </c>
      <c r="O46" s="15" t="s">
        <v>661</v>
      </c>
      <c r="P46" s="13" t="s">
        <v>604</v>
      </c>
      <c r="Q46" s="13" t="s">
        <v>607</v>
      </c>
      <c r="R46" s="13" t="s">
        <v>615</v>
      </c>
      <c r="S46" s="13" t="s">
        <v>617</v>
      </c>
      <c r="T46" s="13" t="s">
        <v>645</v>
      </c>
      <c r="U46" s="13" t="s">
        <v>55</v>
      </c>
    </row>
    <row r="47" spans="1:21" s="13" customFormat="1" x14ac:dyDescent="0.25">
      <c r="A47" s="13" t="s">
        <v>670</v>
      </c>
      <c r="B47" s="13" t="s">
        <v>631</v>
      </c>
      <c r="C47" s="13" t="s">
        <v>672</v>
      </c>
      <c r="D47" s="13">
        <v>0.5</v>
      </c>
      <c r="E47" s="13" t="s">
        <v>91</v>
      </c>
      <c r="F47" s="13" t="s">
        <v>111</v>
      </c>
      <c r="G47" s="14">
        <v>0.5</v>
      </c>
      <c r="H47" s="13" t="s">
        <v>606</v>
      </c>
      <c r="I47" s="13" t="s">
        <v>90</v>
      </c>
      <c r="J47" s="13" t="s">
        <v>105</v>
      </c>
      <c r="K47" s="13" t="s">
        <v>16</v>
      </c>
      <c r="L47" s="13" t="s">
        <v>668</v>
      </c>
      <c r="M47" s="13" t="s">
        <v>653</v>
      </c>
      <c r="N47" s="13" t="s">
        <v>597</v>
      </c>
      <c r="O47" s="13" t="s">
        <v>644</v>
      </c>
      <c r="P47" s="15" t="s">
        <v>605</v>
      </c>
      <c r="Q47" s="13" t="s">
        <v>607</v>
      </c>
      <c r="R47" s="13" t="s">
        <v>615</v>
      </c>
      <c r="S47" s="13" t="s">
        <v>617</v>
      </c>
      <c r="T47" s="13" t="s">
        <v>645</v>
      </c>
      <c r="U47" s="13" t="s">
        <v>55</v>
      </c>
    </row>
    <row r="48" spans="1:21" s="13" customFormat="1" x14ac:dyDescent="0.25">
      <c r="A48" s="13" t="s">
        <v>670</v>
      </c>
      <c r="B48" s="13" t="s">
        <v>631</v>
      </c>
      <c r="C48" s="13" t="s">
        <v>672</v>
      </c>
      <c r="D48" s="13">
        <v>0.5</v>
      </c>
      <c r="E48" s="13" t="s">
        <v>91</v>
      </c>
      <c r="F48" s="13" t="s">
        <v>123</v>
      </c>
      <c r="G48" s="14">
        <v>0.1</v>
      </c>
      <c r="H48" s="13" t="s">
        <v>608</v>
      </c>
      <c r="I48" s="13" t="s">
        <v>90</v>
      </c>
      <c r="J48" s="13" t="s">
        <v>105</v>
      </c>
      <c r="K48" s="13" t="s">
        <v>16</v>
      </c>
      <c r="L48" s="13" t="s">
        <v>668</v>
      </c>
      <c r="M48" s="13" t="s">
        <v>653</v>
      </c>
      <c r="N48" s="13" t="s">
        <v>597</v>
      </c>
      <c r="O48" s="13" t="s">
        <v>644</v>
      </c>
      <c r="P48" s="13" t="s">
        <v>604</v>
      </c>
      <c r="Q48" s="15" t="s">
        <v>609</v>
      </c>
      <c r="R48" s="13" t="s">
        <v>615</v>
      </c>
      <c r="S48" s="13" t="s">
        <v>617</v>
      </c>
      <c r="T48" s="13" t="s">
        <v>645</v>
      </c>
      <c r="U48" s="13" t="s">
        <v>55</v>
      </c>
    </row>
    <row r="49" spans="1:21" s="13" customFormat="1" x14ac:dyDescent="0.25">
      <c r="A49" s="13" t="s">
        <v>670</v>
      </c>
      <c r="B49" s="13" t="s">
        <v>631</v>
      </c>
      <c r="C49" s="13" t="s">
        <v>672</v>
      </c>
      <c r="D49" s="13">
        <v>0.5</v>
      </c>
      <c r="E49" s="13" t="s">
        <v>91</v>
      </c>
      <c r="F49" s="13" t="s">
        <v>595</v>
      </c>
      <c r="G49" s="14">
        <v>0.75</v>
      </c>
      <c r="H49" s="13" t="s">
        <v>614</v>
      </c>
      <c r="I49" s="13" t="s">
        <v>90</v>
      </c>
      <c r="J49" s="13" t="s">
        <v>105</v>
      </c>
      <c r="K49" s="13" t="s">
        <v>16</v>
      </c>
      <c r="L49" s="13" t="s">
        <v>668</v>
      </c>
      <c r="M49" s="13" t="s">
        <v>653</v>
      </c>
      <c r="N49" s="13" t="s">
        <v>597</v>
      </c>
      <c r="O49" s="13" t="s">
        <v>644</v>
      </c>
      <c r="P49" s="13" t="s">
        <v>604</v>
      </c>
      <c r="Q49" s="13" t="s">
        <v>607</v>
      </c>
      <c r="R49" s="15" t="s">
        <v>616</v>
      </c>
      <c r="S49" s="13" t="s">
        <v>617</v>
      </c>
      <c r="T49" s="13" t="s">
        <v>645</v>
      </c>
      <c r="U49" s="13" t="s">
        <v>55</v>
      </c>
    </row>
    <row r="50" spans="1:21" s="13" customFormat="1" x14ac:dyDescent="0.25">
      <c r="A50" s="13" t="s">
        <v>670</v>
      </c>
      <c r="B50" s="13" t="s">
        <v>631</v>
      </c>
      <c r="C50" s="13" t="s">
        <v>672</v>
      </c>
      <c r="D50" s="13">
        <v>0.5</v>
      </c>
      <c r="E50" s="13" t="s">
        <v>91</v>
      </c>
      <c r="F50" s="13" t="s">
        <v>596</v>
      </c>
      <c r="G50" s="14">
        <v>0.1</v>
      </c>
      <c r="H50" s="13" t="s">
        <v>618</v>
      </c>
      <c r="I50" s="13" t="s">
        <v>90</v>
      </c>
      <c r="J50" s="13" t="s">
        <v>105</v>
      </c>
      <c r="K50" s="13" t="s">
        <v>16</v>
      </c>
      <c r="L50" s="13" t="s">
        <v>668</v>
      </c>
      <c r="M50" s="13" t="s">
        <v>653</v>
      </c>
      <c r="N50" s="13" t="s">
        <v>597</v>
      </c>
      <c r="O50" s="13" t="s">
        <v>644</v>
      </c>
      <c r="P50" s="13" t="s">
        <v>604</v>
      </c>
      <c r="Q50" s="13" t="s">
        <v>607</v>
      </c>
      <c r="R50" s="13" t="s">
        <v>615</v>
      </c>
      <c r="S50" s="15" t="s">
        <v>619</v>
      </c>
      <c r="T50" s="13" t="s">
        <v>645</v>
      </c>
      <c r="U50" s="13" t="s">
        <v>55</v>
      </c>
    </row>
    <row r="51" spans="1:21" s="13" customFormat="1" x14ac:dyDescent="0.25">
      <c r="A51" s="13" t="s">
        <v>670</v>
      </c>
      <c r="B51" s="13" t="s">
        <v>631</v>
      </c>
      <c r="C51" s="13" t="s">
        <v>672</v>
      </c>
      <c r="D51" s="13">
        <v>0.5</v>
      </c>
      <c r="E51" s="13" t="s">
        <v>91</v>
      </c>
      <c r="F51" s="13" t="s">
        <v>613</v>
      </c>
      <c r="G51" s="14">
        <v>0.67</v>
      </c>
      <c r="H51" s="13" t="s">
        <v>662</v>
      </c>
      <c r="I51" s="13" t="s">
        <v>90</v>
      </c>
      <c r="J51" s="13" t="s">
        <v>105</v>
      </c>
      <c r="K51" s="13" t="s">
        <v>16</v>
      </c>
      <c r="L51" s="13" t="s">
        <v>668</v>
      </c>
      <c r="M51" s="13" t="s">
        <v>653</v>
      </c>
      <c r="N51" s="13" t="s">
        <v>597</v>
      </c>
      <c r="O51" s="13" t="s">
        <v>644</v>
      </c>
      <c r="P51" s="13" t="s">
        <v>604</v>
      </c>
      <c r="Q51" s="13" t="s">
        <v>607</v>
      </c>
      <c r="R51" s="13" t="s">
        <v>615</v>
      </c>
      <c r="S51" s="13" t="s">
        <v>617</v>
      </c>
      <c r="T51" s="15" t="s">
        <v>620</v>
      </c>
      <c r="U51" s="13" t="s">
        <v>55</v>
      </c>
    </row>
    <row r="52" spans="1:21" s="13" customFormat="1" x14ac:dyDescent="0.25">
      <c r="A52" s="13" t="s">
        <v>670</v>
      </c>
      <c r="B52" s="13" t="s">
        <v>631</v>
      </c>
      <c r="C52" s="13" t="s">
        <v>672</v>
      </c>
      <c r="D52" s="13">
        <v>0.5</v>
      </c>
      <c r="E52" s="13" t="s">
        <v>91</v>
      </c>
      <c r="F52" s="13" t="s">
        <v>648</v>
      </c>
      <c r="G52" s="14">
        <v>0.33</v>
      </c>
      <c r="H52" s="13" t="s">
        <v>621</v>
      </c>
      <c r="I52" s="13" t="s">
        <v>90</v>
      </c>
      <c r="J52" s="13" t="s">
        <v>105</v>
      </c>
      <c r="K52" s="13" t="s">
        <v>16</v>
      </c>
      <c r="L52" s="13" t="s">
        <v>668</v>
      </c>
      <c r="M52" s="13" t="s">
        <v>653</v>
      </c>
      <c r="N52" s="13" t="s">
        <v>597</v>
      </c>
      <c r="O52" s="13" t="s">
        <v>644</v>
      </c>
      <c r="P52" s="13" t="s">
        <v>604</v>
      </c>
      <c r="Q52" s="13" t="s">
        <v>607</v>
      </c>
      <c r="R52" s="13" t="s">
        <v>615</v>
      </c>
      <c r="S52" s="13" t="s">
        <v>617</v>
      </c>
      <c r="T52" s="15" t="s">
        <v>663</v>
      </c>
      <c r="U52" s="13" t="s">
        <v>55</v>
      </c>
    </row>
    <row r="53" spans="1:21" s="13" customFormat="1" x14ac:dyDescent="0.25">
      <c r="A53" s="13" t="s">
        <v>670</v>
      </c>
      <c r="B53" s="13" t="s">
        <v>631</v>
      </c>
      <c r="C53" s="13" t="s">
        <v>672</v>
      </c>
      <c r="D53" s="13">
        <v>0.5</v>
      </c>
      <c r="E53" s="13" t="s">
        <v>91</v>
      </c>
      <c r="F53" s="13" t="s">
        <v>658</v>
      </c>
      <c r="G53" s="14">
        <v>0.25</v>
      </c>
      <c r="H53" s="13" t="s">
        <v>622</v>
      </c>
      <c r="I53" s="13" t="s">
        <v>90</v>
      </c>
      <c r="J53" s="13" t="s">
        <v>105</v>
      </c>
      <c r="K53" s="13" t="s">
        <v>16</v>
      </c>
      <c r="L53" s="13" t="s">
        <v>668</v>
      </c>
      <c r="M53" s="13" t="s">
        <v>653</v>
      </c>
      <c r="N53" s="13" t="s">
        <v>597</v>
      </c>
      <c r="O53" s="13" t="s">
        <v>644</v>
      </c>
      <c r="P53" s="13" t="s">
        <v>604</v>
      </c>
      <c r="Q53" s="13" t="s">
        <v>607</v>
      </c>
      <c r="R53" s="13" t="s">
        <v>615</v>
      </c>
      <c r="S53" s="13" t="s">
        <v>617</v>
      </c>
      <c r="T53" s="13" t="s">
        <v>645</v>
      </c>
      <c r="U53" s="15" t="s">
        <v>568</v>
      </c>
    </row>
    <row r="54" spans="1:21" s="16" customFormat="1" x14ac:dyDescent="0.25">
      <c r="A54" s="16" t="s">
        <v>673</v>
      </c>
      <c r="B54" s="16" t="s">
        <v>629</v>
      </c>
      <c r="C54" s="16" t="s">
        <v>674</v>
      </c>
      <c r="D54" s="16">
        <v>0.5</v>
      </c>
      <c r="E54" s="16" t="s">
        <v>91</v>
      </c>
      <c r="F54" s="16" t="s">
        <v>18</v>
      </c>
      <c r="G54" s="17">
        <v>1</v>
      </c>
      <c r="H54" s="16" t="s">
        <v>652</v>
      </c>
      <c r="I54" s="16" t="s">
        <v>90</v>
      </c>
      <c r="J54" s="16" t="s">
        <v>105</v>
      </c>
      <c r="K54" s="16" t="s">
        <v>16</v>
      </c>
      <c r="L54" s="16" t="s">
        <v>668</v>
      </c>
      <c r="M54" s="16" t="s">
        <v>599</v>
      </c>
      <c r="N54" s="16" t="s">
        <v>597</v>
      </c>
      <c r="O54" s="16" t="s">
        <v>644</v>
      </c>
      <c r="P54" s="16" t="s">
        <v>604</v>
      </c>
      <c r="Q54" s="16" t="s">
        <v>607</v>
      </c>
      <c r="R54" s="16" t="s">
        <v>615</v>
      </c>
      <c r="S54" s="16" t="s">
        <v>617</v>
      </c>
      <c r="T54" s="16" t="s">
        <v>645</v>
      </c>
      <c r="U54" s="16" t="s">
        <v>55</v>
      </c>
    </row>
    <row r="55" spans="1:21" s="16" customFormat="1" x14ac:dyDescent="0.25">
      <c r="A55" s="16" t="s">
        <v>673</v>
      </c>
      <c r="B55" s="16" t="s">
        <v>629</v>
      </c>
      <c r="C55" s="16" t="s">
        <v>674</v>
      </c>
      <c r="D55" s="16">
        <v>0.5</v>
      </c>
      <c r="E55" s="16" t="s">
        <v>91</v>
      </c>
      <c r="F55" s="16" t="s">
        <v>21</v>
      </c>
      <c r="G55" s="17">
        <v>0.75</v>
      </c>
      <c r="H55" s="16" t="s">
        <v>30</v>
      </c>
      <c r="I55" s="16" t="s">
        <v>90</v>
      </c>
      <c r="J55" s="16" t="s">
        <v>105</v>
      </c>
      <c r="K55" s="16" t="s">
        <v>28</v>
      </c>
      <c r="L55" s="16" t="s">
        <v>668</v>
      </c>
      <c r="M55" s="16" t="s">
        <v>599</v>
      </c>
      <c r="N55" s="16" t="s">
        <v>597</v>
      </c>
      <c r="O55" s="16" t="s">
        <v>644</v>
      </c>
      <c r="P55" s="16" t="s">
        <v>604</v>
      </c>
      <c r="Q55" s="16" t="s">
        <v>607</v>
      </c>
      <c r="R55" s="16" t="s">
        <v>615</v>
      </c>
      <c r="S55" s="16" t="s">
        <v>617</v>
      </c>
      <c r="T55" s="16" t="s">
        <v>645</v>
      </c>
      <c r="U55" s="16" t="s">
        <v>55</v>
      </c>
    </row>
    <row r="56" spans="1:21" s="16" customFormat="1" x14ac:dyDescent="0.25">
      <c r="A56" s="16" t="s">
        <v>673</v>
      </c>
      <c r="B56" s="16" t="s">
        <v>629</v>
      </c>
      <c r="C56" s="16" t="s">
        <v>674</v>
      </c>
      <c r="D56" s="16">
        <v>0.5</v>
      </c>
      <c r="E56" s="16" t="s">
        <v>91</v>
      </c>
      <c r="F56" s="16" t="s">
        <v>22</v>
      </c>
      <c r="G56" s="17">
        <v>0.5</v>
      </c>
      <c r="H56" s="16" t="s">
        <v>31</v>
      </c>
      <c r="I56" s="16" t="s">
        <v>90</v>
      </c>
      <c r="J56" s="16" t="s">
        <v>105</v>
      </c>
      <c r="K56" s="16" t="s">
        <v>29</v>
      </c>
      <c r="L56" s="16" t="s">
        <v>668</v>
      </c>
      <c r="M56" s="16" t="s">
        <v>599</v>
      </c>
      <c r="N56" s="16" t="s">
        <v>597</v>
      </c>
      <c r="O56" s="16" t="s">
        <v>644</v>
      </c>
      <c r="P56" s="16" t="s">
        <v>604</v>
      </c>
      <c r="Q56" s="16" t="s">
        <v>607</v>
      </c>
      <c r="R56" s="16" t="s">
        <v>615</v>
      </c>
      <c r="S56" s="16" t="s">
        <v>617</v>
      </c>
      <c r="T56" s="16" t="s">
        <v>645</v>
      </c>
      <c r="U56" s="16" t="s">
        <v>55</v>
      </c>
    </row>
    <row r="57" spans="1:21" s="16" customFormat="1" x14ac:dyDescent="0.25">
      <c r="A57" s="16" t="s">
        <v>673</v>
      </c>
      <c r="B57" s="16" t="s">
        <v>629</v>
      </c>
      <c r="C57" s="16" t="s">
        <v>674</v>
      </c>
      <c r="D57" s="16">
        <v>0.5</v>
      </c>
      <c r="E57" s="16" t="s">
        <v>91</v>
      </c>
      <c r="F57" s="16" t="s">
        <v>23</v>
      </c>
      <c r="G57" s="17">
        <v>0.5</v>
      </c>
      <c r="H57" s="16" t="s">
        <v>646</v>
      </c>
      <c r="I57" s="16" t="s">
        <v>90</v>
      </c>
      <c r="J57" s="16" t="s">
        <v>105</v>
      </c>
      <c r="K57" s="16" t="s">
        <v>16</v>
      </c>
      <c r="L57" s="16" t="s">
        <v>668</v>
      </c>
      <c r="M57" s="16" t="s">
        <v>599</v>
      </c>
      <c r="N57" s="18" t="s">
        <v>598</v>
      </c>
      <c r="O57" s="16" t="s">
        <v>644</v>
      </c>
      <c r="P57" s="16" t="s">
        <v>604</v>
      </c>
      <c r="Q57" s="16" t="s">
        <v>607</v>
      </c>
      <c r="R57" s="16" t="s">
        <v>615</v>
      </c>
      <c r="S57" s="16" t="s">
        <v>617</v>
      </c>
      <c r="T57" s="16" t="s">
        <v>645</v>
      </c>
      <c r="U57" s="16" t="s">
        <v>55</v>
      </c>
    </row>
    <row r="58" spans="1:21" s="16" customFormat="1" x14ac:dyDescent="0.25">
      <c r="A58" s="16" t="s">
        <v>673</v>
      </c>
      <c r="B58" s="16" t="s">
        <v>629</v>
      </c>
      <c r="C58" s="16" t="s">
        <v>674</v>
      </c>
      <c r="D58" s="16">
        <v>0.5</v>
      </c>
      <c r="E58" s="16" t="s">
        <v>91</v>
      </c>
      <c r="F58" s="16" t="s">
        <v>24</v>
      </c>
      <c r="G58" s="17">
        <v>0.67</v>
      </c>
      <c r="H58" s="16" t="s">
        <v>676</v>
      </c>
      <c r="I58" s="16" t="s">
        <v>90</v>
      </c>
      <c r="J58" s="16" t="s">
        <v>105</v>
      </c>
      <c r="K58" s="16" t="s">
        <v>16</v>
      </c>
      <c r="L58" s="18" t="s">
        <v>675</v>
      </c>
      <c r="M58" s="16" t="s">
        <v>599</v>
      </c>
      <c r="N58" s="16" t="s">
        <v>597</v>
      </c>
      <c r="O58" s="16" t="s">
        <v>644</v>
      </c>
      <c r="P58" s="16" t="s">
        <v>604</v>
      </c>
      <c r="Q58" s="16" t="s">
        <v>607</v>
      </c>
      <c r="R58" s="16" t="s">
        <v>615</v>
      </c>
      <c r="S58" s="16" t="s">
        <v>617</v>
      </c>
      <c r="T58" s="16" t="s">
        <v>645</v>
      </c>
      <c r="U58" s="16" t="s">
        <v>55</v>
      </c>
    </row>
    <row r="59" spans="1:21" s="16" customFormat="1" x14ac:dyDescent="0.25">
      <c r="A59" s="16" t="s">
        <v>673</v>
      </c>
      <c r="B59" s="16" t="s">
        <v>629</v>
      </c>
      <c r="C59" s="16" t="s">
        <v>674</v>
      </c>
      <c r="D59" s="16">
        <v>0.5</v>
      </c>
      <c r="E59" s="16" t="s">
        <v>91</v>
      </c>
      <c r="F59" s="16" t="s">
        <v>25</v>
      </c>
      <c r="G59" s="17">
        <v>0.33</v>
      </c>
      <c r="H59" s="16" t="s">
        <v>602</v>
      </c>
      <c r="I59" s="16" t="s">
        <v>90</v>
      </c>
      <c r="J59" s="16" t="s">
        <v>105</v>
      </c>
      <c r="K59" s="16" t="s">
        <v>16</v>
      </c>
      <c r="L59" s="16" t="s">
        <v>668</v>
      </c>
      <c r="M59" s="18" t="s">
        <v>600</v>
      </c>
      <c r="N59" s="16" t="s">
        <v>597</v>
      </c>
      <c r="O59" s="16" t="s">
        <v>644</v>
      </c>
      <c r="P59" s="16" t="s">
        <v>604</v>
      </c>
      <c r="Q59" s="16" t="s">
        <v>607</v>
      </c>
      <c r="R59" s="16" t="s">
        <v>615</v>
      </c>
      <c r="S59" s="16" t="s">
        <v>617</v>
      </c>
      <c r="T59" s="16" t="s">
        <v>645</v>
      </c>
      <c r="U59" s="16" t="s">
        <v>55</v>
      </c>
    </row>
    <row r="60" spans="1:21" s="16" customFormat="1" x14ac:dyDescent="0.25">
      <c r="A60" s="16" t="s">
        <v>673</v>
      </c>
      <c r="B60" s="16" t="s">
        <v>629</v>
      </c>
      <c r="C60" s="16" t="s">
        <v>674</v>
      </c>
      <c r="F60" s="16" t="s">
        <v>36</v>
      </c>
      <c r="G60" s="17">
        <v>0.5</v>
      </c>
      <c r="H60" s="16" t="s">
        <v>657</v>
      </c>
      <c r="I60" s="16" t="s">
        <v>90</v>
      </c>
      <c r="J60" s="16" t="s">
        <v>105</v>
      </c>
      <c r="K60" s="16" t="s">
        <v>16</v>
      </c>
      <c r="L60" s="16" t="s">
        <v>668</v>
      </c>
      <c r="M60" s="16" t="s">
        <v>599</v>
      </c>
      <c r="N60" s="16" t="s">
        <v>597</v>
      </c>
      <c r="O60" s="18" t="s">
        <v>643</v>
      </c>
      <c r="P60" s="16" t="s">
        <v>604</v>
      </c>
      <c r="Q60" s="16" t="s">
        <v>607</v>
      </c>
      <c r="R60" s="16" t="s">
        <v>615</v>
      </c>
      <c r="S60" s="16" t="s">
        <v>617</v>
      </c>
      <c r="T60" s="16" t="s">
        <v>645</v>
      </c>
      <c r="U60" s="16" t="s">
        <v>55</v>
      </c>
    </row>
    <row r="61" spans="1:21" s="16" customFormat="1" x14ac:dyDescent="0.25">
      <c r="A61" s="16" t="s">
        <v>673</v>
      </c>
      <c r="B61" s="16" t="s">
        <v>629</v>
      </c>
      <c r="C61" s="16" t="s">
        <v>674</v>
      </c>
      <c r="D61" s="16">
        <v>0.5</v>
      </c>
      <c r="E61" s="16" t="s">
        <v>91</v>
      </c>
      <c r="F61" s="16" t="s">
        <v>37</v>
      </c>
      <c r="G61" s="17">
        <v>0.33</v>
      </c>
      <c r="H61" s="16" t="s">
        <v>603</v>
      </c>
      <c r="I61" s="16" t="s">
        <v>90</v>
      </c>
      <c r="J61" s="16" t="s">
        <v>105</v>
      </c>
      <c r="K61" s="16" t="s">
        <v>16</v>
      </c>
      <c r="L61" s="16" t="s">
        <v>668</v>
      </c>
      <c r="M61" s="16" t="s">
        <v>599</v>
      </c>
      <c r="N61" s="16" t="s">
        <v>597</v>
      </c>
      <c r="O61" s="18" t="s">
        <v>656</v>
      </c>
      <c r="P61" s="16" t="s">
        <v>604</v>
      </c>
      <c r="Q61" s="16" t="s">
        <v>607</v>
      </c>
      <c r="R61" s="16" t="s">
        <v>615</v>
      </c>
      <c r="S61" s="16" t="s">
        <v>617</v>
      </c>
      <c r="T61" s="16" t="s">
        <v>645</v>
      </c>
      <c r="U61" s="16" t="s">
        <v>55</v>
      </c>
    </row>
    <row r="62" spans="1:21" s="16" customFormat="1" x14ac:dyDescent="0.25">
      <c r="A62" s="16" t="s">
        <v>673</v>
      </c>
      <c r="B62" s="16" t="s">
        <v>629</v>
      </c>
      <c r="C62" s="16" t="s">
        <v>674</v>
      </c>
      <c r="D62" s="16">
        <v>0.5</v>
      </c>
      <c r="E62" s="16" t="s">
        <v>91</v>
      </c>
      <c r="F62" s="16" t="s">
        <v>38</v>
      </c>
      <c r="G62" s="17">
        <v>0.1</v>
      </c>
      <c r="H62" s="16" t="s">
        <v>660</v>
      </c>
      <c r="I62" s="16" t="s">
        <v>90</v>
      </c>
      <c r="J62" s="16" t="s">
        <v>105</v>
      </c>
      <c r="K62" s="16" t="s">
        <v>16</v>
      </c>
      <c r="L62" s="16" t="s">
        <v>668</v>
      </c>
      <c r="M62" s="16" t="s">
        <v>599</v>
      </c>
      <c r="N62" s="16" t="s">
        <v>597</v>
      </c>
      <c r="O62" s="18" t="s">
        <v>661</v>
      </c>
      <c r="P62" s="16" t="s">
        <v>604</v>
      </c>
      <c r="Q62" s="16" t="s">
        <v>607</v>
      </c>
      <c r="R62" s="16" t="s">
        <v>615</v>
      </c>
      <c r="S62" s="16" t="s">
        <v>617</v>
      </c>
      <c r="T62" s="16" t="s">
        <v>645</v>
      </c>
      <c r="U62" s="16" t="s">
        <v>55</v>
      </c>
    </row>
    <row r="63" spans="1:21" s="16" customFormat="1" x14ac:dyDescent="0.25">
      <c r="A63" s="16" t="s">
        <v>673</v>
      </c>
      <c r="B63" s="16" t="s">
        <v>629</v>
      </c>
      <c r="C63" s="16" t="s">
        <v>674</v>
      </c>
      <c r="D63" s="16">
        <v>0.5</v>
      </c>
      <c r="E63" s="16" t="s">
        <v>91</v>
      </c>
      <c r="F63" s="16" t="s">
        <v>64</v>
      </c>
      <c r="G63" s="17">
        <v>0.5</v>
      </c>
      <c r="H63" s="16" t="s">
        <v>606</v>
      </c>
      <c r="I63" s="16" t="s">
        <v>90</v>
      </c>
      <c r="J63" s="16" t="s">
        <v>105</v>
      </c>
      <c r="K63" s="16" t="s">
        <v>16</v>
      </c>
      <c r="L63" s="16" t="s">
        <v>668</v>
      </c>
      <c r="M63" s="16" t="s">
        <v>599</v>
      </c>
      <c r="N63" s="16" t="s">
        <v>597</v>
      </c>
      <c r="O63" s="16" t="s">
        <v>644</v>
      </c>
      <c r="P63" s="18" t="s">
        <v>605</v>
      </c>
      <c r="Q63" s="16" t="s">
        <v>607</v>
      </c>
      <c r="R63" s="16" t="s">
        <v>615</v>
      </c>
      <c r="S63" s="16" t="s">
        <v>617</v>
      </c>
      <c r="T63" s="16" t="s">
        <v>645</v>
      </c>
      <c r="U63" s="16" t="s">
        <v>55</v>
      </c>
    </row>
    <row r="64" spans="1:21" s="16" customFormat="1" x14ac:dyDescent="0.25">
      <c r="A64" s="16" t="s">
        <v>673</v>
      </c>
      <c r="B64" s="16" t="s">
        <v>629</v>
      </c>
      <c r="C64" s="16" t="s">
        <v>674</v>
      </c>
      <c r="D64" s="16">
        <v>0.5</v>
      </c>
      <c r="E64" s="16" t="s">
        <v>91</v>
      </c>
      <c r="F64" s="16" t="s">
        <v>111</v>
      </c>
      <c r="G64" s="17">
        <v>0.1</v>
      </c>
      <c r="H64" s="16" t="s">
        <v>608</v>
      </c>
      <c r="I64" s="16" t="s">
        <v>90</v>
      </c>
      <c r="J64" s="16" t="s">
        <v>105</v>
      </c>
      <c r="K64" s="16" t="s">
        <v>16</v>
      </c>
      <c r="L64" s="16" t="s">
        <v>668</v>
      </c>
      <c r="M64" s="16" t="s">
        <v>599</v>
      </c>
      <c r="N64" s="16" t="s">
        <v>597</v>
      </c>
      <c r="O64" s="16" t="s">
        <v>644</v>
      </c>
      <c r="P64" s="16" t="s">
        <v>604</v>
      </c>
      <c r="Q64" s="18" t="s">
        <v>609</v>
      </c>
      <c r="R64" s="16" t="s">
        <v>615</v>
      </c>
      <c r="S64" s="16" t="s">
        <v>617</v>
      </c>
      <c r="T64" s="16" t="s">
        <v>645</v>
      </c>
      <c r="U64" s="16" t="s">
        <v>55</v>
      </c>
    </row>
    <row r="65" spans="1:21" s="16" customFormat="1" x14ac:dyDescent="0.25">
      <c r="A65" s="16" t="s">
        <v>673</v>
      </c>
      <c r="B65" s="16" t="s">
        <v>629</v>
      </c>
      <c r="C65" s="16" t="s">
        <v>674</v>
      </c>
      <c r="D65" s="16">
        <v>0.5</v>
      </c>
      <c r="E65" s="16" t="s">
        <v>91</v>
      </c>
      <c r="F65" s="16" t="s">
        <v>123</v>
      </c>
      <c r="G65" s="17">
        <v>0.75</v>
      </c>
      <c r="H65" s="16" t="s">
        <v>614</v>
      </c>
      <c r="I65" s="16" t="s">
        <v>90</v>
      </c>
      <c r="J65" s="16" t="s">
        <v>105</v>
      </c>
      <c r="K65" s="16" t="s">
        <v>16</v>
      </c>
      <c r="L65" s="16" t="s">
        <v>668</v>
      </c>
      <c r="M65" s="16" t="s">
        <v>599</v>
      </c>
      <c r="N65" s="16" t="s">
        <v>597</v>
      </c>
      <c r="O65" s="16" t="s">
        <v>644</v>
      </c>
      <c r="P65" s="16" t="s">
        <v>604</v>
      </c>
      <c r="Q65" s="16" t="s">
        <v>607</v>
      </c>
      <c r="R65" s="18" t="s">
        <v>616</v>
      </c>
      <c r="S65" s="16" t="s">
        <v>617</v>
      </c>
      <c r="T65" s="16" t="s">
        <v>645</v>
      </c>
      <c r="U65" s="16" t="s">
        <v>55</v>
      </c>
    </row>
    <row r="66" spans="1:21" s="16" customFormat="1" x14ac:dyDescent="0.25">
      <c r="A66" s="16" t="s">
        <v>673</v>
      </c>
      <c r="B66" s="16" t="s">
        <v>629</v>
      </c>
      <c r="C66" s="16" t="s">
        <v>674</v>
      </c>
      <c r="D66" s="16">
        <v>0.5</v>
      </c>
      <c r="E66" s="16" t="s">
        <v>91</v>
      </c>
      <c r="F66" s="16" t="s">
        <v>595</v>
      </c>
      <c r="G66" s="17">
        <v>0.1</v>
      </c>
      <c r="H66" s="16" t="s">
        <v>618</v>
      </c>
      <c r="I66" s="16" t="s">
        <v>90</v>
      </c>
      <c r="J66" s="16" t="s">
        <v>105</v>
      </c>
      <c r="K66" s="16" t="s">
        <v>16</v>
      </c>
      <c r="L66" s="16" t="s">
        <v>668</v>
      </c>
      <c r="M66" s="16" t="s">
        <v>599</v>
      </c>
      <c r="N66" s="16" t="s">
        <v>597</v>
      </c>
      <c r="O66" s="16" t="s">
        <v>644</v>
      </c>
      <c r="P66" s="16" t="s">
        <v>604</v>
      </c>
      <c r="Q66" s="16" t="s">
        <v>607</v>
      </c>
      <c r="R66" s="16" t="s">
        <v>615</v>
      </c>
      <c r="S66" s="18" t="s">
        <v>619</v>
      </c>
      <c r="T66" s="16" t="s">
        <v>645</v>
      </c>
      <c r="U66" s="16" t="s">
        <v>55</v>
      </c>
    </row>
    <row r="67" spans="1:21" s="16" customFormat="1" x14ac:dyDescent="0.25">
      <c r="A67" s="16" t="s">
        <v>673</v>
      </c>
      <c r="B67" s="16" t="s">
        <v>629</v>
      </c>
      <c r="C67" s="16" t="s">
        <v>674</v>
      </c>
      <c r="D67" s="16">
        <v>0.5</v>
      </c>
      <c r="E67" s="16" t="s">
        <v>91</v>
      </c>
      <c r="F67" s="16" t="s">
        <v>596</v>
      </c>
      <c r="G67" s="17">
        <v>0.5</v>
      </c>
      <c r="H67" s="16" t="s">
        <v>662</v>
      </c>
      <c r="I67" s="16" t="s">
        <v>90</v>
      </c>
      <c r="J67" s="16" t="s">
        <v>105</v>
      </c>
      <c r="K67" s="16" t="s">
        <v>16</v>
      </c>
      <c r="L67" s="16" t="s">
        <v>668</v>
      </c>
      <c r="M67" s="16" t="s">
        <v>599</v>
      </c>
      <c r="N67" s="16" t="s">
        <v>597</v>
      </c>
      <c r="O67" s="16" t="s">
        <v>644</v>
      </c>
      <c r="P67" s="16" t="s">
        <v>604</v>
      </c>
      <c r="Q67" s="16" t="s">
        <v>607</v>
      </c>
      <c r="R67" s="16" t="s">
        <v>615</v>
      </c>
      <c r="S67" s="16" t="s">
        <v>617</v>
      </c>
      <c r="T67" s="18" t="s">
        <v>620</v>
      </c>
      <c r="U67" s="16" t="s">
        <v>55</v>
      </c>
    </row>
    <row r="68" spans="1:21" s="16" customFormat="1" x14ac:dyDescent="0.25">
      <c r="A68" s="16" t="s">
        <v>673</v>
      </c>
      <c r="B68" s="16" t="s">
        <v>629</v>
      </c>
      <c r="C68" s="16" t="s">
        <v>674</v>
      </c>
      <c r="D68" s="16">
        <v>0.5</v>
      </c>
      <c r="E68" s="16" t="s">
        <v>91</v>
      </c>
      <c r="F68" s="16" t="s">
        <v>613</v>
      </c>
      <c r="G68" s="17">
        <v>0.1</v>
      </c>
      <c r="H68" s="16" t="s">
        <v>621</v>
      </c>
      <c r="I68" s="16" t="s">
        <v>90</v>
      </c>
      <c r="J68" s="16" t="s">
        <v>105</v>
      </c>
      <c r="K68" s="16" t="s">
        <v>16</v>
      </c>
      <c r="L68" s="16" t="s">
        <v>668</v>
      </c>
      <c r="M68" s="16" t="s">
        <v>599</v>
      </c>
      <c r="N68" s="16" t="s">
        <v>597</v>
      </c>
      <c r="O68" s="16" t="s">
        <v>644</v>
      </c>
      <c r="P68" s="16" t="s">
        <v>604</v>
      </c>
      <c r="Q68" s="16" t="s">
        <v>607</v>
      </c>
      <c r="R68" s="16" t="s">
        <v>615</v>
      </c>
      <c r="S68" s="16" t="s">
        <v>617</v>
      </c>
      <c r="T68" s="18" t="s">
        <v>663</v>
      </c>
      <c r="U68" s="16" t="s">
        <v>55</v>
      </c>
    </row>
    <row r="69" spans="1:21" s="16" customFormat="1" x14ac:dyDescent="0.25">
      <c r="A69" s="16" t="s">
        <v>673</v>
      </c>
      <c r="B69" s="16" t="s">
        <v>629</v>
      </c>
      <c r="C69" s="16" t="s">
        <v>674</v>
      </c>
      <c r="D69" s="16">
        <v>0.5</v>
      </c>
      <c r="E69" s="16" t="s">
        <v>91</v>
      </c>
      <c r="F69" s="16" t="s">
        <v>648</v>
      </c>
      <c r="G69" s="17">
        <v>0.25</v>
      </c>
      <c r="H69" s="16" t="s">
        <v>622</v>
      </c>
      <c r="I69" s="16" t="s">
        <v>90</v>
      </c>
      <c r="J69" s="16" t="s">
        <v>105</v>
      </c>
      <c r="K69" s="16" t="s">
        <v>16</v>
      </c>
      <c r="L69" s="16" t="s">
        <v>668</v>
      </c>
      <c r="M69" s="16" t="s">
        <v>599</v>
      </c>
      <c r="N69" s="16" t="s">
        <v>597</v>
      </c>
      <c r="O69" s="16" t="s">
        <v>644</v>
      </c>
      <c r="P69" s="16" t="s">
        <v>604</v>
      </c>
      <c r="Q69" s="16" t="s">
        <v>607</v>
      </c>
      <c r="R69" s="16" t="s">
        <v>615</v>
      </c>
      <c r="S69" s="16" t="s">
        <v>617</v>
      </c>
      <c r="T69" s="16" t="s">
        <v>645</v>
      </c>
      <c r="U69" s="18" t="s">
        <v>568</v>
      </c>
    </row>
    <row r="70" spans="1:21" s="19" customFormat="1" x14ac:dyDescent="0.25">
      <c r="A70" s="19" t="s">
        <v>673</v>
      </c>
      <c r="B70" s="19" t="s">
        <v>629</v>
      </c>
      <c r="C70" s="19" t="s">
        <v>680</v>
      </c>
      <c r="D70" s="19">
        <v>0.5</v>
      </c>
      <c r="E70" s="19" t="s">
        <v>91</v>
      </c>
      <c r="F70" s="19" t="s">
        <v>18</v>
      </c>
      <c r="G70" s="20">
        <v>1</v>
      </c>
      <c r="H70" s="19" t="s">
        <v>652</v>
      </c>
      <c r="I70" s="19" t="s">
        <v>86</v>
      </c>
      <c r="J70" s="19" t="s">
        <v>105</v>
      </c>
      <c r="K70" s="19" t="s">
        <v>16</v>
      </c>
      <c r="L70" s="19" t="s">
        <v>668</v>
      </c>
      <c r="M70" s="19" t="s">
        <v>599</v>
      </c>
      <c r="N70" s="19" t="s">
        <v>683</v>
      </c>
      <c r="O70" s="19" t="s">
        <v>644</v>
      </c>
      <c r="P70" s="19" t="s">
        <v>607</v>
      </c>
      <c r="Q70" s="19" t="s">
        <v>615</v>
      </c>
      <c r="R70" s="19" t="s">
        <v>617</v>
      </c>
      <c r="S70" s="19" t="s">
        <v>645</v>
      </c>
      <c r="T70" s="19" t="s">
        <v>55</v>
      </c>
    </row>
    <row r="71" spans="1:21" s="19" customFormat="1" x14ac:dyDescent="0.25">
      <c r="A71" s="19" t="s">
        <v>673</v>
      </c>
      <c r="B71" s="19" t="s">
        <v>629</v>
      </c>
      <c r="C71" s="19" t="s">
        <v>680</v>
      </c>
      <c r="D71" s="19">
        <v>0.5</v>
      </c>
      <c r="E71" s="19" t="s">
        <v>91</v>
      </c>
      <c r="F71" s="19" t="s">
        <v>21</v>
      </c>
      <c r="G71" s="20">
        <v>0.75</v>
      </c>
      <c r="H71" s="19" t="s">
        <v>30</v>
      </c>
      <c r="I71" s="19" t="s">
        <v>86</v>
      </c>
      <c r="J71" s="19" t="s">
        <v>105</v>
      </c>
      <c r="K71" s="19" t="s">
        <v>28</v>
      </c>
      <c r="L71" s="19" t="s">
        <v>668</v>
      </c>
      <c r="M71" s="19" t="s">
        <v>599</v>
      </c>
      <c r="N71" s="19" t="s">
        <v>683</v>
      </c>
      <c r="O71" s="19" t="s">
        <v>644</v>
      </c>
      <c r="P71" s="19" t="s">
        <v>607</v>
      </c>
      <c r="Q71" s="19" t="s">
        <v>615</v>
      </c>
      <c r="R71" s="19" t="s">
        <v>617</v>
      </c>
      <c r="S71" s="19" t="s">
        <v>645</v>
      </c>
      <c r="T71" s="19" t="s">
        <v>55</v>
      </c>
    </row>
    <row r="72" spans="1:21" s="19" customFormat="1" x14ac:dyDescent="0.25">
      <c r="A72" s="19" t="s">
        <v>673</v>
      </c>
      <c r="B72" s="19" t="s">
        <v>629</v>
      </c>
      <c r="C72" s="19" t="s">
        <v>680</v>
      </c>
      <c r="D72" s="19">
        <v>0.5</v>
      </c>
      <c r="E72" s="19" t="s">
        <v>91</v>
      </c>
      <c r="F72" s="19" t="s">
        <v>22</v>
      </c>
      <c r="G72" s="20">
        <v>0.5</v>
      </c>
      <c r="H72" s="19" t="s">
        <v>31</v>
      </c>
      <c r="I72" s="19" t="s">
        <v>86</v>
      </c>
      <c r="J72" s="19" t="s">
        <v>105</v>
      </c>
      <c r="K72" s="19" t="s">
        <v>29</v>
      </c>
      <c r="L72" s="19" t="s">
        <v>668</v>
      </c>
      <c r="M72" s="19" t="s">
        <v>599</v>
      </c>
      <c r="N72" s="19" t="s">
        <v>683</v>
      </c>
      <c r="O72" s="19" t="s">
        <v>644</v>
      </c>
      <c r="P72" s="19" t="s">
        <v>607</v>
      </c>
      <c r="Q72" s="19" t="s">
        <v>615</v>
      </c>
      <c r="R72" s="19" t="s">
        <v>617</v>
      </c>
      <c r="S72" s="19" t="s">
        <v>645</v>
      </c>
      <c r="T72" s="19" t="s">
        <v>55</v>
      </c>
    </row>
    <row r="73" spans="1:21" s="19" customFormat="1" x14ac:dyDescent="0.25">
      <c r="A73" s="19" t="s">
        <v>673</v>
      </c>
      <c r="B73" s="19" t="s">
        <v>629</v>
      </c>
      <c r="C73" s="19" t="s">
        <v>680</v>
      </c>
      <c r="D73" s="19">
        <v>0.5</v>
      </c>
      <c r="E73" s="19" t="s">
        <v>91</v>
      </c>
      <c r="F73" s="19" t="s">
        <v>23</v>
      </c>
      <c r="G73" s="20">
        <v>0.5</v>
      </c>
      <c r="H73" s="19" t="s">
        <v>682</v>
      </c>
      <c r="I73" s="19" t="s">
        <v>86</v>
      </c>
      <c r="J73" s="19" t="s">
        <v>105</v>
      </c>
      <c r="K73" s="19" t="s">
        <v>16</v>
      </c>
      <c r="L73" s="19" t="s">
        <v>668</v>
      </c>
      <c r="M73" s="19" t="s">
        <v>599</v>
      </c>
      <c r="N73" s="21" t="s">
        <v>684</v>
      </c>
      <c r="O73" s="19" t="s">
        <v>644</v>
      </c>
      <c r="P73" s="19" t="s">
        <v>607</v>
      </c>
      <c r="Q73" s="19" t="s">
        <v>615</v>
      </c>
      <c r="R73" s="19" t="s">
        <v>617</v>
      </c>
      <c r="S73" s="19" t="s">
        <v>645</v>
      </c>
      <c r="T73" s="19" t="s">
        <v>55</v>
      </c>
    </row>
    <row r="74" spans="1:21" s="19" customFormat="1" x14ac:dyDescent="0.25">
      <c r="A74" s="19" t="s">
        <v>673</v>
      </c>
      <c r="B74" s="19" t="s">
        <v>629</v>
      </c>
      <c r="C74" s="19" t="s">
        <v>680</v>
      </c>
      <c r="D74" s="19">
        <v>0.5</v>
      </c>
      <c r="E74" s="19" t="s">
        <v>91</v>
      </c>
      <c r="F74" s="19" t="s">
        <v>24</v>
      </c>
      <c r="G74" s="20">
        <v>0.67</v>
      </c>
      <c r="H74" s="19" t="s">
        <v>676</v>
      </c>
      <c r="I74" s="19" t="s">
        <v>86</v>
      </c>
      <c r="J74" s="19" t="s">
        <v>105</v>
      </c>
      <c r="K74" s="19" t="s">
        <v>16</v>
      </c>
      <c r="L74" s="21" t="s">
        <v>675</v>
      </c>
      <c r="M74" s="19" t="s">
        <v>599</v>
      </c>
      <c r="N74" s="19" t="s">
        <v>683</v>
      </c>
      <c r="O74" s="19" t="s">
        <v>644</v>
      </c>
      <c r="P74" s="19" t="s">
        <v>607</v>
      </c>
      <c r="Q74" s="19" t="s">
        <v>615</v>
      </c>
      <c r="R74" s="19" t="s">
        <v>617</v>
      </c>
      <c r="S74" s="19" t="s">
        <v>645</v>
      </c>
      <c r="T74" s="19" t="s">
        <v>55</v>
      </c>
    </row>
    <row r="75" spans="1:21" s="19" customFormat="1" x14ac:dyDescent="0.25">
      <c r="A75" s="19" t="s">
        <v>673</v>
      </c>
      <c r="B75" s="19" t="s">
        <v>629</v>
      </c>
      <c r="C75" s="19" t="s">
        <v>680</v>
      </c>
      <c r="D75" s="19">
        <v>0.5</v>
      </c>
      <c r="E75" s="19" t="s">
        <v>91</v>
      </c>
      <c r="F75" s="19" t="s">
        <v>25</v>
      </c>
      <c r="G75" s="20">
        <v>0.33</v>
      </c>
      <c r="H75" s="19" t="s">
        <v>602</v>
      </c>
      <c r="I75" s="19" t="s">
        <v>86</v>
      </c>
      <c r="J75" s="19" t="s">
        <v>105</v>
      </c>
      <c r="K75" s="19" t="s">
        <v>16</v>
      </c>
      <c r="L75" s="19" t="s">
        <v>668</v>
      </c>
      <c r="M75" s="21" t="s">
        <v>600</v>
      </c>
      <c r="N75" s="19" t="s">
        <v>683</v>
      </c>
      <c r="O75" s="19" t="s">
        <v>644</v>
      </c>
      <c r="P75" s="19" t="s">
        <v>607</v>
      </c>
      <c r="Q75" s="19" t="s">
        <v>615</v>
      </c>
      <c r="R75" s="19" t="s">
        <v>617</v>
      </c>
      <c r="S75" s="19" t="s">
        <v>645</v>
      </c>
      <c r="T75" s="19" t="s">
        <v>55</v>
      </c>
    </row>
    <row r="76" spans="1:21" s="19" customFormat="1" x14ac:dyDescent="0.25">
      <c r="A76" s="19" t="s">
        <v>673</v>
      </c>
      <c r="B76" s="19" t="s">
        <v>629</v>
      </c>
      <c r="C76" s="19" t="s">
        <v>680</v>
      </c>
      <c r="F76" s="19" t="s">
        <v>36</v>
      </c>
      <c r="G76" s="20">
        <v>0.5</v>
      </c>
      <c r="H76" s="19" t="s">
        <v>657</v>
      </c>
      <c r="I76" s="19" t="s">
        <v>86</v>
      </c>
      <c r="J76" s="19" t="s">
        <v>105</v>
      </c>
      <c r="K76" s="19" t="s">
        <v>16</v>
      </c>
      <c r="L76" s="19" t="s">
        <v>668</v>
      </c>
      <c r="M76" s="19" t="s">
        <v>599</v>
      </c>
      <c r="N76" s="19" t="s">
        <v>683</v>
      </c>
      <c r="O76" s="21" t="s">
        <v>643</v>
      </c>
      <c r="P76" s="19" t="s">
        <v>607</v>
      </c>
      <c r="Q76" s="19" t="s">
        <v>615</v>
      </c>
      <c r="R76" s="19" t="s">
        <v>617</v>
      </c>
      <c r="S76" s="19" t="s">
        <v>645</v>
      </c>
      <c r="T76" s="19" t="s">
        <v>55</v>
      </c>
    </row>
    <row r="77" spans="1:21" s="19" customFormat="1" x14ac:dyDescent="0.25">
      <c r="A77" s="19" t="s">
        <v>673</v>
      </c>
      <c r="B77" s="19" t="s">
        <v>629</v>
      </c>
      <c r="C77" s="19" t="s">
        <v>680</v>
      </c>
      <c r="D77" s="19">
        <v>0.5</v>
      </c>
      <c r="E77" s="19" t="s">
        <v>91</v>
      </c>
      <c r="F77" s="19" t="s">
        <v>37</v>
      </c>
      <c r="G77" s="20">
        <v>0.33</v>
      </c>
      <c r="H77" s="19" t="s">
        <v>603</v>
      </c>
      <c r="I77" s="19" t="s">
        <v>86</v>
      </c>
      <c r="J77" s="19" t="s">
        <v>105</v>
      </c>
      <c r="K77" s="19" t="s">
        <v>16</v>
      </c>
      <c r="L77" s="19" t="s">
        <v>668</v>
      </c>
      <c r="M77" s="19" t="s">
        <v>599</v>
      </c>
      <c r="N77" s="19" t="s">
        <v>683</v>
      </c>
      <c r="O77" s="21" t="s">
        <v>656</v>
      </c>
      <c r="P77" s="19" t="s">
        <v>607</v>
      </c>
      <c r="Q77" s="19" t="s">
        <v>615</v>
      </c>
      <c r="R77" s="19" t="s">
        <v>617</v>
      </c>
      <c r="S77" s="19" t="s">
        <v>645</v>
      </c>
      <c r="T77" s="19" t="s">
        <v>55</v>
      </c>
    </row>
    <row r="78" spans="1:21" s="19" customFormat="1" x14ac:dyDescent="0.25">
      <c r="A78" s="19" t="s">
        <v>673</v>
      </c>
      <c r="B78" s="19" t="s">
        <v>629</v>
      </c>
      <c r="C78" s="19" t="s">
        <v>680</v>
      </c>
      <c r="D78" s="19">
        <v>0.5</v>
      </c>
      <c r="E78" s="19" t="s">
        <v>91</v>
      </c>
      <c r="F78" s="19" t="s">
        <v>38</v>
      </c>
      <c r="G78" s="20">
        <v>0.1</v>
      </c>
      <c r="H78" s="19" t="s">
        <v>660</v>
      </c>
      <c r="I78" s="19" t="s">
        <v>86</v>
      </c>
      <c r="J78" s="19" t="s">
        <v>105</v>
      </c>
      <c r="K78" s="19" t="s">
        <v>16</v>
      </c>
      <c r="L78" s="19" t="s">
        <v>668</v>
      </c>
      <c r="M78" s="19" t="s">
        <v>599</v>
      </c>
      <c r="N78" s="19" t="s">
        <v>683</v>
      </c>
      <c r="O78" s="21" t="s">
        <v>661</v>
      </c>
      <c r="P78" s="19" t="s">
        <v>607</v>
      </c>
      <c r="Q78" s="19" t="s">
        <v>615</v>
      </c>
      <c r="R78" s="19" t="s">
        <v>617</v>
      </c>
      <c r="S78" s="19" t="s">
        <v>645</v>
      </c>
      <c r="T78" s="19" t="s">
        <v>55</v>
      </c>
    </row>
    <row r="79" spans="1:21" s="19" customFormat="1" x14ac:dyDescent="0.25">
      <c r="A79" s="19" t="s">
        <v>673</v>
      </c>
      <c r="B79" s="19" t="s">
        <v>629</v>
      </c>
      <c r="C79" s="19" t="s">
        <v>680</v>
      </c>
      <c r="D79" s="19">
        <v>0.5</v>
      </c>
      <c r="E79" s="19" t="s">
        <v>91</v>
      </c>
      <c r="F79" s="19" t="s">
        <v>64</v>
      </c>
      <c r="G79" s="20">
        <v>0.1</v>
      </c>
      <c r="H79" s="19" t="s">
        <v>608</v>
      </c>
      <c r="I79" s="19" t="s">
        <v>86</v>
      </c>
      <c r="J79" s="19" t="s">
        <v>105</v>
      </c>
      <c r="K79" s="19" t="s">
        <v>16</v>
      </c>
      <c r="L79" s="19" t="s">
        <v>668</v>
      </c>
      <c r="M79" s="19" t="s">
        <v>599</v>
      </c>
      <c r="N79" s="19" t="s">
        <v>683</v>
      </c>
      <c r="O79" s="19" t="s">
        <v>644</v>
      </c>
      <c r="P79" s="21" t="s">
        <v>609</v>
      </c>
      <c r="Q79" s="19" t="s">
        <v>615</v>
      </c>
      <c r="R79" s="19" t="s">
        <v>617</v>
      </c>
      <c r="S79" s="19" t="s">
        <v>645</v>
      </c>
      <c r="T79" s="19" t="s">
        <v>55</v>
      </c>
    </row>
    <row r="80" spans="1:21" s="19" customFormat="1" x14ac:dyDescent="0.25">
      <c r="A80" s="19" t="s">
        <v>673</v>
      </c>
      <c r="B80" s="19" t="s">
        <v>629</v>
      </c>
      <c r="C80" s="19" t="s">
        <v>680</v>
      </c>
      <c r="D80" s="19">
        <v>0.5</v>
      </c>
      <c r="E80" s="19" t="s">
        <v>91</v>
      </c>
      <c r="F80" s="19" t="s">
        <v>111</v>
      </c>
      <c r="G80" s="20">
        <v>0.75</v>
      </c>
      <c r="H80" s="19" t="s">
        <v>614</v>
      </c>
      <c r="I80" s="19" t="s">
        <v>86</v>
      </c>
      <c r="J80" s="19" t="s">
        <v>105</v>
      </c>
      <c r="K80" s="19" t="s">
        <v>16</v>
      </c>
      <c r="L80" s="19" t="s">
        <v>668</v>
      </c>
      <c r="M80" s="19" t="s">
        <v>599</v>
      </c>
      <c r="N80" s="19" t="s">
        <v>683</v>
      </c>
      <c r="O80" s="19" t="s">
        <v>644</v>
      </c>
      <c r="P80" s="19" t="s">
        <v>607</v>
      </c>
      <c r="Q80" s="21" t="s">
        <v>616</v>
      </c>
      <c r="R80" s="19" t="s">
        <v>617</v>
      </c>
      <c r="S80" s="19" t="s">
        <v>645</v>
      </c>
      <c r="T80" s="19" t="s">
        <v>55</v>
      </c>
    </row>
    <row r="81" spans="1:20" s="19" customFormat="1" x14ac:dyDescent="0.25">
      <c r="A81" s="19" t="s">
        <v>673</v>
      </c>
      <c r="B81" s="19" t="s">
        <v>629</v>
      </c>
      <c r="C81" s="19" t="s">
        <v>680</v>
      </c>
      <c r="D81" s="19">
        <v>0.5</v>
      </c>
      <c r="E81" s="19" t="s">
        <v>91</v>
      </c>
      <c r="F81" s="19" t="s">
        <v>123</v>
      </c>
      <c r="G81" s="20">
        <v>0.1</v>
      </c>
      <c r="H81" s="19" t="s">
        <v>618</v>
      </c>
      <c r="I81" s="19" t="s">
        <v>86</v>
      </c>
      <c r="J81" s="19" t="s">
        <v>105</v>
      </c>
      <c r="K81" s="19" t="s">
        <v>16</v>
      </c>
      <c r="L81" s="19" t="s">
        <v>668</v>
      </c>
      <c r="M81" s="19" t="s">
        <v>599</v>
      </c>
      <c r="N81" s="19" t="s">
        <v>683</v>
      </c>
      <c r="O81" s="19" t="s">
        <v>644</v>
      </c>
      <c r="P81" s="19" t="s">
        <v>607</v>
      </c>
      <c r="Q81" s="19" t="s">
        <v>615</v>
      </c>
      <c r="R81" s="21" t="s">
        <v>619</v>
      </c>
      <c r="S81" s="19" t="s">
        <v>645</v>
      </c>
      <c r="T81" s="19" t="s">
        <v>55</v>
      </c>
    </row>
    <row r="82" spans="1:20" s="19" customFormat="1" x14ac:dyDescent="0.25">
      <c r="A82" s="19" t="s">
        <v>673</v>
      </c>
      <c r="B82" s="19" t="s">
        <v>629</v>
      </c>
      <c r="C82" s="19" t="s">
        <v>680</v>
      </c>
      <c r="D82" s="19">
        <v>0.5</v>
      </c>
      <c r="E82" s="19" t="s">
        <v>91</v>
      </c>
      <c r="F82" s="19" t="s">
        <v>595</v>
      </c>
      <c r="G82" s="20">
        <v>0.5</v>
      </c>
      <c r="H82" s="19" t="s">
        <v>662</v>
      </c>
      <c r="I82" s="19" t="s">
        <v>86</v>
      </c>
      <c r="J82" s="19" t="s">
        <v>105</v>
      </c>
      <c r="K82" s="19" t="s">
        <v>16</v>
      </c>
      <c r="L82" s="19" t="s">
        <v>668</v>
      </c>
      <c r="M82" s="19" t="s">
        <v>599</v>
      </c>
      <c r="N82" s="19" t="s">
        <v>683</v>
      </c>
      <c r="O82" s="19" t="s">
        <v>644</v>
      </c>
      <c r="P82" s="19" t="s">
        <v>607</v>
      </c>
      <c r="Q82" s="19" t="s">
        <v>615</v>
      </c>
      <c r="R82" s="19" t="s">
        <v>617</v>
      </c>
      <c r="S82" s="21" t="s">
        <v>620</v>
      </c>
      <c r="T82" s="19" t="s">
        <v>55</v>
      </c>
    </row>
    <row r="83" spans="1:20" s="19" customFormat="1" x14ac:dyDescent="0.25">
      <c r="A83" s="19" t="s">
        <v>673</v>
      </c>
      <c r="B83" s="19" t="s">
        <v>629</v>
      </c>
      <c r="C83" s="19" t="s">
        <v>680</v>
      </c>
      <c r="D83" s="19">
        <v>0.5</v>
      </c>
      <c r="E83" s="19" t="s">
        <v>91</v>
      </c>
      <c r="F83" s="19" t="s">
        <v>596</v>
      </c>
      <c r="G83" s="20">
        <v>0.1</v>
      </c>
      <c r="H83" s="19" t="s">
        <v>621</v>
      </c>
      <c r="I83" s="19" t="s">
        <v>86</v>
      </c>
      <c r="J83" s="19" t="s">
        <v>105</v>
      </c>
      <c r="K83" s="19" t="s">
        <v>16</v>
      </c>
      <c r="L83" s="19" t="s">
        <v>668</v>
      </c>
      <c r="M83" s="19" t="s">
        <v>599</v>
      </c>
      <c r="N83" s="19" t="s">
        <v>683</v>
      </c>
      <c r="O83" s="19" t="s">
        <v>644</v>
      </c>
      <c r="P83" s="19" t="s">
        <v>607</v>
      </c>
      <c r="Q83" s="19" t="s">
        <v>615</v>
      </c>
      <c r="R83" s="19" t="s">
        <v>617</v>
      </c>
      <c r="S83" s="21" t="s">
        <v>663</v>
      </c>
      <c r="T83" s="19" t="s">
        <v>55</v>
      </c>
    </row>
    <row r="84" spans="1:20" s="19" customFormat="1" x14ac:dyDescent="0.25">
      <c r="A84" s="19" t="s">
        <v>673</v>
      </c>
      <c r="B84" s="19" t="s">
        <v>629</v>
      </c>
      <c r="C84" s="19" t="s">
        <v>680</v>
      </c>
      <c r="D84" s="19">
        <v>0.5</v>
      </c>
      <c r="E84" s="19" t="s">
        <v>91</v>
      </c>
      <c r="F84" s="19" t="s">
        <v>613</v>
      </c>
      <c r="G84" s="20">
        <v>0.25</v>
      </c>
      <c r="H84" s="19" t="s">
        <v>622</v>
      </c>
      <c r="I84" s="19" t="s">
        <v>86</v>
      </c>
      <c r="J84" s="19" t="s">
        <v>105</v>
      </c>
      <c r="K84" s="19" t="s">
        <v>16</v>
      </c>
      <c r="L84" s="19" t="s">
        <v>668</v>
      </c>
      <c r="M84" s="19" t="s">
        <v>599</v>
      </c>
      <c r="N84" s="19" t="s">
        <v>683</v>
      </c>
      <c r="O84" s="19" t="s">
        <v>644</v>
      </c>
      <c r="P84" s="19" t="s">
        <v>607</v>
      </c>
      <c r="Q84" s="19" t="s">
        <v>615</v>
      </c>
      <c r="R84" s="19" t="s">
        <v>617</v>
      </c>
      <c r="S84" s="19" t="s">
        <v>645</v>
      </c>
      <c r="T84" s="21" t="s">
        <v>568</v>
      </c>
    </row>
    <row r="85" spans="1:20" s="16" customFormat="1" x14ac:dyDescent="0.25">
      <c r="A85" s="16" t="s">
        <v>677</v>
      </c>
      <c r="B85" s="16" t="s">
        <v>633</v>
      </c>
      <c r="C85" s="16" t="s">
        <v>678</v>
      </c>
      <c r="D85" s="16">
        <v>0.5</v>
      </c>
      <c r="E85" s="16" t="s">
        <v>91</v>
      </c>
      <c r="F85" s="16" t="s">
        <v>18</v>
      </c>
      <c r="G85" s="17">
        <v>1</v>
      </c>
      <c r="H85" s="16" t="s">
        <v>652</v>
      </c>
      <c r="I85" s="16" t="s">
        <v>679</v>
      </c>
      <c r="J85" s="16" t="s">
        <v>105</v>
      </c>
      <c r="K85" s="16" t="s">
        <v>16</v>
      </c>
      <c r="L85" s="16" t="s">
        <v>740</v>
      </c>
      <c r="M85" s="16" t="s">
        <v>599</v>
      </c>
      <c r="N85" s="16" t="s">
        <v>685</v>
      </c>
      <c r="O85" s="16" t="s">
        <v>604</v>
      </c>
      <c r="P85" s="16" t="s">
        <v>607</v>
      </c>
      <c r="Q85" s="16" t="s">
        <v>615</v>
      </c>
      <c r="R85" s="16" t="s">
        <v>617</v>
      </c>
      <c r="S85" s="16" t="s">
        <v>55</v>
      </c>
    </row>
    <row r="86" spans="1:20" s="16" customFormat="1" x14ac:dyDescent="0.25">
      <c r="A86" s="16" t="s">
        <v>677</v>
      </c>
      <c r="B86" s="16" t="s">
        <v>633</v>
      </c>
      <c r="C86" s="16" t="s">
        <v>678</v>
      </c>
      <c r="D86" s="16">
        <v>0.5</v>
      </c>
      <c r="E86" s="16" t="s">
        <v>91</v>
      </c>
      <c r="F86" s="16" t="s">
        <v>21</v>
      </c>
      <c r="G86" s="17">
        <v>0.75</v>
      </c>
      <c r="H86" s="16" t="s">
        <v>30</v>
      </c>
      <c r="I86" s="16" t="s">
        <v>679</v>
      </c>
      <c r="J86" s="16" t="s">
        <v>105</v>
      </c>
      <c r="K86" s="16" t="s">
        <v>28</v>
      </c>
      <c r="L86" s="16" t="s">
        <v>740</v>
      </c>
      <c r="M86" s="16" t="s">
        <v>599</v>
      </c>
      <c r="N86" s="16" t="s">
        <v>685</v>
      </c>
      <c r="O86" s="16" t="s">
        <v>604</v>
      </c>
      <c r="P86" s="16" t="s">
        <v>607</v>
      </c>
      <c r="Q86" s="16" t="s">
        <v>615</v>
      </c>
      <c r="R86" s="16" t="s">
        <v>617</v>
      </c>
      <c r="S86" s="16" t="s">
        <v>55</v>
      </c>
    </row>
    <row r="87" spans="1:20" s="16" customFormat="1" x14ac:dyDescent="0.25">
      <c r="A87" s="16" t="s">
        <v>677</v>
      </c>
      <c r="B87" s="16" t="s">
        <v>633</v>
      </c>
      <c r="C87" s="16" t="s">
        <v>678</v>
      </c>
      <c r="D87" s="16">
        <v>0.5</v>
      </c>
      <c r="E87" s="16" t="s">
        <v>91</v>
      </c>
      <c r="F87" s="16" t="s">
        <v>22</v>
      </c>
      <c r="G87" s="17">
        <v>0.5</v>
      </c>
      <c r="H87" s="16" t="s">
        <v>31</v>
      </c>
      <c r="I87" s="16" t="s">
        <v>679</v>
      </c>
      <c r="J87" s="16" t="s">
        <v>105</v>
      </c>
      <c r="K87" s="16" t="s">
        <v>29</v>
      </c>
      <c r="L87" s="16" t="s">
        <v>740</v>
      </c>
      <c r="M87" s="16" t="s">
        <v>599</v>
      </c>
      <c r="N87" s="16" t="s">
        <v>685</v>
      </c>
      <c r="O87" s="16" t="s">
        <v>604</v>
      </c>
      <c r="P87" s="16" t="s">
        <v>607</v>
      </c>
      <c r="Q87" s="16" t="s">
        <v>615</v>
      </c>
      <c r="R87" s="16" t="s">
        <v>617</v>
      </c>
      <c r="S87" s="16" t="s">
        <v>55</v>
      </c>
    </row>
    <row r="88" spans="1:20" s="16" customFormat="1" x14ac:dyDescent="0.25">
      <c r="A88" s="16" t="s">
        <v>677</v>
      </c>
      <c r="B88" s="16" t="s">
        <v>633</v>
      </c>
      <c r="C88" s="16" t="s">
        <v>678</v>
      </c>
      <c r="D88" s="16">
        <v>0.5</v>
      </c>
      <c r="E88" s="16" t="s">
        <v>91</v>
      </c>
      <c r="F88" s="16" t="s">
        <v>23</v>
      </c>
      <c r="G88" s="17">
        <v>0.5</v>
      </c>
      <c r="H88" s="16" t="s">
        <v>739</v>
      </c>
      <c r="I88" s="16" t="s">
        <v>679</v>
      </c>
      <c r="J88" s="16" t="s">
        <v>105</v>
      </c>
      <c r="K88" s="16" t="s">
        <v>16</v>
      </c>
      <c r="L88" s="16" t="s">
        <v>740</v>
      </c>
      <c r="M88" s="16" t="s">
        <v>599</v>
      </c>
      <c r="N88" s="18" t="s">
        <v>686</v>
      </c>
      <c r="O88" s="16" t="s">
        <v>604</v>
      </c>
      <c r="P88" s="16" t="s">
        <v>607</v>
      </c>
      <c r="Q88" s="16" t="s">
        <v>615</v>
      </c>
      <c r="R88" s="16" t="s">
        <v>617</v>
      </c>
      <c r="S88" s="16" t="s">
        <v>55</v>
      </c>
    </row>
    <row r="89" spans="1:20" s="16" customFormat="1" x14ac:dyDescent="0.25">
      <c r="A89" s="16" t="s">
        <v>677</v>
      </c>
      <c r="B89" s="16" t="s">
        <v>633</v>
      </c>
      <c r="C89" s="16" t="s">
        <v>678</v>
      </c>
      <c r="D89" s="16">
        <v>0.5</v>
      </c>
      <c r="E89" s="16" t="s">
        <v>91</v>
      </c>
      <c r="F89" s="16" t="s">
        <v>24</v>
      </c>
      <c r="G89" s="17">
        <v>0.67</v>
      </c>
      <c r="H89" s="16" t="s">
        <v>742</v>
      </c>
      <c r="I89" s="16" t="s">
        <v>679</v>
      </c>
      <c r="J89" s="16" t="s">
        <v>105</v>
      </c>
      <c r="K89" s="16" t="s">
        <v>16</v>
      </c>
      <c r="L89" s="18" t="s">
        <v>741</v>
      </c>
      <c r="M89" s="16" t="s">
        <v>599</v>
      </c>
      <c r="N89" s="16" t="s">
        <v>685</v>
      </c>
      <c r="O89" s="16" t="s">
        <v>604</v>
      </c>
      <c r="P89" s="16" t="s">
        <v>607</v>
      </c>
      <c r="Q89" s="16" t="s">
        <v>615</v>
      </c>
      <c r="R89" s="16" t="s">
        <v>617</v>
      </c>
      <c r="S89" s="16" t="s">
        <v>55</v>
      </c>
    </row>
    <row r="90" spans="1:20" s="16" customFormat="1" x14ac:dyDescent="0.25">
      <c r="A90" s="16" t="s">
        <v>677</v>
      </c>
      <c r="B90" s="16" t="s">
        <v>633</v>
      </c>
      <c r="C90" s="16" t="s">
        <v>678</v>
      </c>
      <c r="D90" s="16">
        <v>0.5</v>
      </c>
      <c r="E90" s="16" t="s">
        <v>91</v>
      </c>
      <c r="F90" s="16" t="s">
        <v>25</v>
      </c>
      <c r="G90" s="17">
        <v>0.33</v>
      </c>
      <c r="H90" s="16" t="s">
        <v>602</v>
      </c>
      <c r="I90" s="16" t="s">
        <v>679</v>
      </c>
      <c r="J90" s="16" t="s">
        <v>105</v>
      </c>
      <c r="K90" s="16" t="s">
        <v>16</v>
      </c>
      <c r="L90" s="16" t="s">
        <v>740</v>
      </c>
      <c r="M90" s="18" t="s">
        <v>600</v>
      </c>
      <c r="N90" s="16" t="s">
        <v>685</v>
      </c>
      <c r="O90" s="16" t="s">
        <v>604</v>
      </c>
      <c r="P90" s="16" t="s">
        <v>607</v>
      </c>
      <c r="Q90" s="16" t="s">
        <v>615</v>
      </c>
      <c r="R90" s="16" t="s">
        <v>617</v>
      </c>
      <c r="S90" s="16" t="s">
        <v>55</v>
      </c>
    </row>
    <row r="91" spans="1:20" s="16" customFormat="1" x14ac:dyDescent="0.25">
      <c r="A91" s="16" t="s">
        <v>677</v>
      </c>
      <c r="B91" s="16" t="s">
        <v>633</v>
      </c>
      <c r="C91" s="16" t="s">
        <v>678</v>
      </c>
      <c r="D91" s="16">
        <v>0.5</v>
      </c>
      <c r="E91" s="16" t="s">
        <v>91</v>
      </c>
      <c r="F91" s="16" t="s">
        <v>36</v>
      </c>
      <c r="G91" s="17">
        <v>0.5</v>
      </c>
      <c r="H91" s="16" t="s">
        <v>606</v>
      </c>
      <c r="I91" s="16" t="s">
        <v>679</v>
      </c>
      <c r="J91" s="16" t="s">
        <v>105</v>
      </c>
      <c r="K91" s="16" t="s">
        <v>16</v>
      </c>
      <c r="L91" s="16" t="s">
        <v>740</v>
      </c>
      <c r="M91" s="16" t="s">
        <v>599</v>
      </c>
      <c r="N91" s="16" t="s">
        <v>685</v>
      </c>
      <c r="O91" s="18" t="s">
        <v>605</v>
      </c>
      <c r="P91" s="16" t="s">
        <v>607</v>
      </c>
      <c r="Q91" s="16" t="s">
        <v>615</v>
      </c>
      <c r="R91" s="16" t="s">
        <v>617</v>
      </c>
      <c r="S91" s="16" t="s">
        <v>55</v>
      </c>
    </row>
    <row r="92" spans="1:20" s="16" customFormat="1" x14ac:dyDescent="0.25">
      <c r="A92" s="16" t="s">
        <v>677</v>
      </c>
      <c r="B92" s="16" t="s">
        <v>633</v>
      </c>
      <c r="C92" s="16" t="s">
        <v>678</v>
      </c>
      <c r="D92" s="16">
        <v>0.5</v>
      </c>
      <c r="E92" s="16" t="s">
        <v>91</v>
      </c>
      <c r="F92" s="16" t="s">
        <v>37</v>
      </c>
      <c r="G92" s="17">
        <v>0.1</v>
      </c>
      <c r="H92" s="16" t="s">
        <v>608</v>
      </c>
      <c r="I92" s="16" t="s">
        <v>679</v>
      </c>
      <c r="J92" s="16" t="s">
        <v>105</v>
      </c>
      <c r="K92" s="16" t="s">
        <v>16</v>
      </c>
      <c r="L92" s="16" t="s">
        <v>740</v>
      </c>
      <c r="M92" s="16" t="s">
        <v>599</v>
      </c>
      <c r="N92" s="16" t="s">
        <v>685</v>
      </c>
      <c r="O92" s="16" t="s">
        <v>604</v>
      </c>
      <c r="P92" s="18" t="s">
        <v>609</v>
      </c>
      <c r="Q92" s="16" t="s">
        <v>615</v>
      </c>
      <c r="R92" s="16" t="s">
        <v>617</v>
      </c>
      <c r="S92" s="16" t="s">
        <v>55</v>
      </c>
    </row>
    <row r="93" spans="1:20" s="16" customFormat="1" x14ac:dyDescent="0.25">
      <c r="A93" s="16" t="s">
        <v>677</v>
      </c>
      <c r="B93" s="16" t="s">
        <v>633</v>
      </c>
      <c r="C93" s="16" t="s">
        <v>678</v>
      </c>
      <c r="D93" s="16">
        <v>0.5</v>
      </c>
      <c r="E93" s="16" t="s">
        <v>91</v>
      </c>
      <c r="F93" s="16" t="s">
        <v>38</v>
      </c>
      <c r="G93" s="17">
        <v>0.75</v>
      </c>
      <c r="H93" s="16" t="s">
        <v>614</v>
      </c>
      <c r="I93" s="16" t="s">
        <v>679</v>
      </c>
      <c r="J93" s="16" t="s">
        <v>105</v>
      </c>
      <c r="K93" s="16" t="s">
        <v>16</v>
      </c>
      <c r="L93" s="16" t="s">
        <v>740</v>
      </c>
      <c r="M93" s="16" t="s">
        <v>599</v>
      </c>
      <c r="N93" s="16" t="s">
        <v>685</v>
      </c>
      <c r="O93" s="16" t="s">
        <v>604</v>
      </c>
      <c r="P93" s="16" t="s">
        <v>607</v>
      </c>
      <c r="Q93" s="18" t="s">
        <v>616</v>
      </c>
      <c r="R93" s="16" t="s">
        <v>617</v>
      </c>
      <c r="S93" s="16" t="s">
        <v>55</v>
      </c>
    </row>
    <row r="94" spans="1:20" s="16" customFormat="1" x14ac:dyDescent="0.25">
      <c r="A94" s="16" t="s">
        <v>677</v>
      </c>
      <c r="B94" s="16" t="s">
        <v>633</v>
      </c>
      <c r="C94" s="16" t="s">
        <v>678</v>
      </c>
      <c r="D94" s="16">
        <v>0.5</v>
      </c>
      <c r="E94" s="16" t="s">
        <v>91</v>
      </c>
      <c r="F94" s="16" t="s">
        <v>64</v>
      </c>
      <c r="G94" s="17">
        <v>0.1</v>
      </c>
      <c r="H94" s="16" t="s">
        <v>618</v>
      </c>
      <c r="I94" s="16" t="s">
        <v>679</v>
      </c>
      <c r="J94" s="16" t="s">
        <v>105</v>
      </c>
      <c r="K94" s="16" t="s">
        <v>16</v>
      </c>
      <c r="L94" s="16" t="s">
        <v>740</v>
      </c>
      <c r="M94" s="16" t="s">
        <v>599</v>
      </c>
      <c r="N94" s="16" t="s">
        <v>685</v>
      </c>
      <c r="O94" s="16" t="s">
        <v>604</v>
      </c>
      <c r="P94" s="16" t="s">
        <v>607</v>
      </c>
      <c r="Q94" s="16" t="s">
        <v>615</v>
      </c>
      <c r="R94" s="18" t="s">
        <v>619</v>
      </c>
      <c r="S94" s="16" t="s">
        <v>55</v>
      </c>
    </row>
    <row r="95" spans="1:20" s="16" customFormat="1" x14ac:dyDescent="0.25">
      <c r="A95" s="16" t="s">
        <v>677</v>
      </c>
      <c r="B95" s="16" t="s">
        <v>633</v>
      </c>
      <c r="C95" s="16" t="s">
        <v>678</v>
      </c>
      <c r="D95" s="16">
        <v>0.5</v>
      </c>
      <c r="E95" s="16" t="s">
        <v>91</v>
      </c>
      <c r="F95" s="16" t="s">
        <v>111</v>
      </c>
      <c r="G95" s="17">
        <v>0.25</v>
      </c>
      <c r="H95" s="16" t="s">
        <v>622</v>
      </c>
      <c r="I95" s="16" t="s">
        <v>679</v>
      </c>
      <c r="J95" s="16" t="s">
        <v>105</v>
      </c>
      <c r="K95" s="16" t="s">
        <v>16</v>
      </c>
      <c r="L95" s="16" t="s">
        <v>740</v>
      </c>
      <c r="M95" s="16" t="s">
        <v>599</v>
      </c>
      <c r="N95" s="16" t="s">
        <v>685</v>
      </c>
      <c r="O95" s="16" t="s">
        <v>604</v>
      </c>
      <c r="P95" s="16" t="s">
        <v>607</v>
      </c>
      <c r="Q95" s="16" t="s">
        <v>615</v>
      </c>
      <c r="R95" s="16" t="s">
        <v>617</v>
      </c>
      <c r="S95" s="18" t="s">
        <v>568</v>
      </c>
    </row>
    <row r="96" spans="1:20" s="19" customFormat="1" x14ac:dyDescent="0.25">
      <c r="A96" s="19" t="s">
        <v>677</v>
      </c>
      <c r="B96" s="19" t="s">
        <v>633</v>
      </c>
      <c r="C96" s="19" t="s">
        <v>687</v>
      </c>
      <c r="D96" s="19">
        <v>0.5</v>
      </c>
      <c r="E96" s="19" t="s">
        <v>91</v>
      </c>
      <c r="F96" s="19" t="s">
        <v>18</v>
      </c>
      <c r="G96" s="20">
        <v>1</v>
      </c>
      <c r="H96" s="19" t="s">
        <v>652</v>
      </c>
      <c r="I96" s="19" t="s">
        <v>681</v>
      </c>
      <c r="J96" s="19" t="s">
        <v>105</v>
      </c>
      <c r="K96" s="19" t="s">
        <v>16</v>
      </c>
      <c r="L96" s="19" t="s">
        <v>743</v>
      </c>
      <c r="M96" s="19" t="s">
        <v>599</v>
      </c>
      <c r="N96" s="19" t="s">
        <v>691</v>
      </c>
      <c r="O96" s="19" t="s">
        <v>604</v>
      </c>
      <c r="P96" s="19" t="s">
        <v>688</v>
      </c>
      <c r="Q96" s="19" t="s">
        <v>617</v>
      </c>
      <c r="R96" s="19" t="s">
        <v>55</v>
      </c>
    </row>
    <row r="97" spans="1:20" s="19" customFormat="1" x14ac:dyDescent="0.25">
      <c r="A97" s="19" t="s">
        <v>677</v>
      </c>
      <c r="B97" s="19" t="s">
        <v>633</v>
      </c>
      <c r="C97" s="19" t="s">
        <v>687</v>
      </c>
      <c r="D97" s="19">
        <v>0.5</v>
      </c>
      <c r="E97" s="19" t="s">
        <v>91</v>
      </c>
      <c r="F97" s="19" t="s">
        <v>21</v>
      </c>
      <c r="G97" s="20">
        <v>0.75</v>
      </c>
      <c r="H97" s="19" t="s">
        <v>30</v>
      </c>
      <c r="I97" s="19" t="s">
        <v>681</v>
      </c>
      <c r="J97" s="19" t="s">
        <v>105</v>
      </c>
      <c r="K97" s="19" t="s">
        <v>28</v>
      </c>
      <c r="L97" s="19" t="s">
        <v>743</v>
      </c>
      <c r="M97" s="19" t="s">
        <v>599</v>
      </c>
      <c r="N97" s="19" t="s">
        <v>691</v>
      </c>
      <c r="O97" s="19" t="s">
        <v>604</v>
      </c>
      <c r="P97" s="19" t="s">
        <v>688</v>
      </c>
      <c r="Q97" s="19" t="s">
        <v>617</v>
      </c>
      <c r="R97" s="19" t="s">
        <v>55</v>
      </c>
    </row>
    <row r="98" spans="1:20" s="19" customFormat="1" x14ac:dyDescent="0.25">
      <c r="A98" s="19" t="s">
        <v>677</v>
      </c>
      <c r="B98" s="19" t="s">
        <v>633</v>
      </c>
      <c r="C98" s="19" t="s">
        <v>687</v>
      </c>
      <c r="D98" s="19">
        <v>0.5</v>
      </c>
      <c r="E98" s="19" t="s">
        <v>91</v>
      </c>
      <c r="F98" s="19" t="s">
        <v>22</v>
      </c>
      <c r="G98" s="20">
        <v>0.5</v>
      </c>
      <c r="H98" s="19" t="s">
        <v>31</v>
      </c>
      <c r="I98" s="19" t="s">
        <v>681</v>
      </c>
      <c r="J98" s="19" t="s">
        <v>105</v>
      </c>
      <c r="K98" s="19" t="s">
        <v>29</v>
      </c>
      <c r="L98" s="19" t="s">
        <v>743</v>
      </c>
      <c r="M98" s="19" t="s">
        <v>599</v>
      </c>
      <c r="N98" s="19" t="s">
        <v>691</v>
      </c>
      <c r="O98" s="19" t="s">
        <v>604</v>
      </c>
      <c r="P98" s="19" t="s">
        <v>688</v>
      </c>
      <c r="Q98" s="19" t="s">
        <v>617</v>
      </c>
      <c r="R98" s="19" t="s">
        <v>55</v>
      </c>
    </row>
    <row r="99" spans="1:20" s="19" customFormat="1" x14ac:dyDescent="0.25">
      <c r="A99" s="19" t="s">
        <v>677</v>
      </c>
      <c r="B99" s="19" t="s">
        <v>633</v>
      </c>
      <c r="C99" s="19" t="s">
        <v>687</v>
      </c>
      <c r="D99" s="19">
        <v>0.5</v>
      </c>
      <c r="E99" s="19" t="s">
        <v>91</v>
      </c>
      <c r="F99" s="19" t="s">
        <v>23</v>
      </c>
      <c r="G99" s="20">
        <v>0.5</v>
      </c>
      <c r="H99" s="19" t="s">
        <v>692</v>
      </c>
      <c r="I99" s="19" t="s">
        <v>681</v>
      </c>
      <c r="J99" s="19" t="s">
        <v>105</v>
      </c>
      <c r="K99" s="19" t="s">
        <v>16</v>
      </c>
      <c r="L99" s="19" t="s">
        <v>743</v>
      </c>
      <c r="M99" s="19" t="s">
        <v>599</v>
      </c>
      <c r="N99" s="21" t="s">
        <v>690</v>
      </c>
      <c r="O99" s="19" t="s">
        <v>604</v>
      </c>
      <c r="P99" s="19" t="s">
        <v>688</v>
      </c>
      <c r="Q99" s="19" t="s">
        <v>617</v>
      </c>
      <c r="R99" s="19" t="s">
        <v>55</v>
      </c>
    </row>
    <row r="100" spans="1:20" s="19" customFormat="1" x14ac:dyDescent="0.25">
      <c r="A100" s="19" t="s">
        <v>677</v>
      </c>
      <c r="B100" s="19" t="s">
        <v>633</v>
      </c>
      <c r="C100" s="19" t="s">
        <v>687</v>
      </c>
      <c r="D100" s="19">
        <v>0.5</v>
      </c>
      <c r="E100" s="19" t="s">
        <v>91</v>
      </c>
      <c r="F100" s="19" t="s">
        <v>24</v>
      </c>
      <c r="G100" s="20">
        <v>0.67</v>
      </c>
      <c r="H100" s="19" t="s">
        <v>747</v>
      </c>
      <c r="I100" s="19" t="s">
        <v>681</v>
      </c>
      <c r="J100" s="19" t="s">
        <v>105</v>
      </c>
      <c r="K100" s="19" t="s">
        <v>16</v>
      </c>
      <c r="L100" s="21" t="s">
        <v>675</v>
      </c>
      <c r="M100" s="19" t="s">
        <v>599</v>
      </c>
      <c r="N100" s="19" t="s">
        <v>691</v>
      </c>
      <c r="O100" s="19" t="s">
        <v>604</v>
      </c>
      <c r="P100" s="19" t="s">
        <v>688</v>
      </c>
      <c r="Q100" s="19" t="s">
        <v>617</v>
      </c>
      <c r="R100" s="19" t="s">
        <v>55</v>
      </c>
    </row>
    <row r="101" spans="1:20" s="19" customFormat="1" x14ac:dyDescent="0.25">
      <c r="A101" s="19" t="s">
        <v>677</v>
      </c>
      <c r="B101" s="19" t="s">
        <v>633</v>
      </c>
      <c r="C101" s="19" t="s">
        <v>687</v>
      </c>
      <c r="D101" s="19">
        <v>0.5</v>
      </c>
      <c r="E101" s="19" t="s">
        <v>91</v>
      </c>
      <c r="F101" s="19" t="s">
        <v>25</v>
      </c>
      <c r="G101" s="20">
        <v>0.33</v>
      </c>
      <c r="H101" s="19" t="s">
        <v>602</v>
      </c>
      <c r="I101" s="19" t="s">
        <v>681</v>
      </c>
      <c r="J101" s="19" t="s">
        <v>105</v>
      </c>
      <c r="K101" s="19" t="s">
        <v>16</v>
      </c>
      <c r="L101" s="19" t="s">
        <v>743</v>
      </c>
      <c r="M101" s="21" t="s">
        <v>600</v>
      </c>
      <c r="N101" s="19" t="s">
        <v>691</v>
      </c>
      <c r="O101" s="19" t="s">
        <v>604</v>
      </c>
      <c r="P101" s="19" t="s">
        <v>688</v>
      </c>
      <c r="Q101" s="19" t="s">
        <v>617</v>
      </c>
      <c r="R101" s="19" t="s">
        <v>55</v>
      </c>
    </row>
    <row r="102" spans="1:20" s="19" customFormat="1" x14ac:dyDescent="0.25">
      <c r="A102" s="19" t="s">
        <v>677</v>
      </c>
      <c r="B102" s="19" t="s">
        <v>633</v>
      </c>
      <c r="C102" s="19" t="s">
        <v>687</v>
      </c>
      <c r="D102" s="19">
        <v>0.5</v>
      </c>
      <c r="E102" s="19" t="s">
        <v>91</v>
      </c>
      <c r="F102" s="19" t="s">
        <v>36</v>
      </c>
      <c r="G102" s="20">
        <v>0.5</v>
      </c>
      <c r="H102" s="19" t="s">
        <v>606</v>
      </c>
      <c r="I102" s="19" t="s">
        <v>681</v>
      </c>
      <c r="J102" s="19" t="s">
        <v>105</v>
      </c>
      <c r="K102" s="19" t="s">
        <v>16</v>
      </c>
      <c r="L102" s="19" t="s">
        <v>743</v>
      </c>
      <c r="M102" s="19" t="s">
        <v>599</v>
      </c>
      <c r="N102" s="19" t="s">
        <v>691</v>
      </c>
      <c r="O102" s="21" t="s">
        <v>605</v>
      </c>
      <c r="P102" s="19" t="s">
        <v>688</v>
      </c>
      <c r="Q102" s="19" t="s">
        <v>617</v>
      </c>
      <c r="R102" s="19" t="s">
        <v>55</v>
      </c>
    </row>
    <row r="103" spans="1:20" s="19" customFormat="1" x14ac:dyDescent="0.25">
      <c r="A103" s="19" t="s">
        <v>677</v>
      </c>
      <c r="B103" s="19" t="s">
        <v>633</v>
      </c>
      <c r="C103" s="19" t="s">
        <v>687</v>
      </c>
      <c r="D103" s="19">
        <v>0.5</v>
      </c>
      <c r="E103" s="19" t="s">
        <v>91</v>
      </c>
      <c r="F103" s="19" t="s">
        <v>37</v>
      </c>
      <c r="G103" s="20">
        <v>0.1</v>
      </c>
      <c r="H103" s="19" t="s">
        <v>689</v>
      </c>
      <c r="I103" s="19" t="s">
        <v>681</v>
      </c>
      <c r="J103" s="19" t="s">
        <v>105</v>
      </c>
      <c r="K103" s="19" t="s">
        <v>16</v>
      </c>
      <c r="L103" s="19" t="s">
        <v>743</v>
      </c>
      <c r="M103" s="19" t="s">
        <v>599</v>
      </c>
      <c r="N103" s="19" t="s">
        <v>691</v>
      </c>
      <c r="O103" s="19" t="s">
        <v>604</v>
      </c>
      <c r="P103" s="21" t="s">
        <v>607</v>
      </c>
      <c r="Q103" s="19" t="s">
        <v>617</v>
      </c>
      <c r="R103" s="19" t="s">
        <v>55</v>
      </c>
    </row>
    <row r="104" spans="1:20" s="19" customFormat="1" x14ac:dyDescent="0.25">
      <c r="A104" s="19" t="s">
        <v>677</v>
      </c>
      <c r="B104" s="19" t="s">
        <v>633</v>
      </c>
      <c r="C104" s="19" t="s">
        <v>687</v>
      </c>
      <c r="D104" s="19">
        <v>0.5</v>
      </c>
      <c r="E104" s="19" t="s">
        <v>91</v>
      </c>
      <c r="F104" s="19" t="s">
        <v>38</v>
      </c>
      <c r="G104" s="20">
        <v>0.1</v>
      </c>
      <c r="H104" s="19" t="s">
        <v>618</v>
      </c>
      <c r="I104" s="19" t="s">
        <v>681</v>
      </c>
      <c r="J104" s="19" t="s">
        <v>105</v>
      </c>
      <c r="K104" s="19" t="s">
        <v>16</v>
      </c>
      <c r="L104" s="19" t="s">
        <v>743</v>
      </c>
      <c r="M104" s="19" t="s">
        <v>599</v>
      </c>
      <c r="N104" s="19" t="s">
        <v>691</v>
      </c>
      <c r="O104" s="19" t="s">
        <v>604</v>
      </c>
      <c r="P104" s="19" t="s">
        <v>688</v>
      </c>
      <c r="Q104" s="21" t="s">
        <v>619</v>
      </c>
      <c r="R104" s="19" t="s">
        <v>55</v>
      </c>
    </row>
    <row r="105" spans="1:20" s="19" customFormat="1" x14ac:dyDescent="0.25">
      <c r="A105" s="19" t="s">
        <v>677</v>
      </c>
      <c r="B105" s="19" t="s">
        <v>633</v>
      </c>
      <c r="C105" s="19" t="s">
        <v>687</v>
      </c>
      <c r="D105" s="19">
        <v>0.5</v>
      </c>
      <c r="E105" s="19" t="s">
        <v>91</v>
      </c>
      <c r="F105" s="19" t="s">
        <v>64</v>
      </c>
      <c r="G105" s="20">
        <v>0.25</v>
      </c>
      <c r="H105" s="19" t="s">
        <v>622</v>
      </c>
      <c r="I105" s="19" t="s">
        <v>681</v>
      </c>
      <c r="J105" s="19" t="s">
        <v>105</v>
      </c>
      <c r="K105" s="19" t="s">
        <v>16</v>
      </c>
      <c r="L105" s="19" t="s">
        <v>743</v>
      </c>
      <c r="M105" s="19" t="s">
        <v>599</v>
      </c>
      <c r="N105" s="19" t="s">
        <v>691</v>
      </c>
      <c r="O105" s="19" t="s">
        <v>604</v>
      </c>
      <c r="P105" s="19" t="s">
        <v>688</v>
      </c>
      <c r="Q105" s="19" t="s">
        <v>617</v>
      </c>
      <c r="R105" s="21" t="s">
        <v>568</v>
      </c>
    </row>
    <row r="106" spans="1:20" s="13" customFormat="1" x14ac:dyDescent="0.25">
      <c r="A106" s="13" t="s">
        <v>693</v>
      </c>
      <c r="B106" s="13" t="s">
        <v>632</v>
      </c>
      <c r="C106" s="13" t="s">
        <v>694</v>
      </c>
      <c r="D106" s="13">
        <v>0.5</v>
      </c>
      <c r="E106" s="13" t="s">
        <v>91</v>
      </c>
      <c r="F106" s="13" t="s">
        <v>18</v>
      </c>
      <c r="G106" s="14">
        <v>1</v>
      </c>
      <c r="H106" s="13" t="s">
        <v>652</v>
      </c>
      <c r="I106" s="13" t="s">
        <v>86</v>
      </c>
      <c r="J106" s="13" t="s">
        <v>105</v>
      </c>
      <c r="K106" s="13" t="s">
        <v>16</v>
      </c>
      <c r="L106" s="13" t="s">
        <v>647</v>
      </c>
      <c r="M106" s="13" t="s">
        <v>695</v>
      </c>
      <c r="N106" s="13" t="s">
        <v>683</v>
      </c>
      <c r="O106" s="13" t="s">
        <v>644</v>
      </c>
      <c r="P106" s="13" t="s">
        <v>607</v>
      </c>
      <c r="Q106" s="13" t="s">
        <v>615</v>
      </c>
      <c r="R106" s="13" t="s">
        <v>617</v>
      </c>
      <c r="S106" s="13" t="s">
        <v>645</v>
      </c>
      <c r="T106" s="13" t="s">
        <v>55</v>
      </c>
    </row>
    <row r="107" spans="1:20" s="13" customFormat="1" x14ac:dyDescent="0.25">
      <c r="A107" s="13" t="s">
        <v>693</v>
      </c>
      <c r="B107" s="13" t="s">
        <v>632</v>
      </c>
      <c r="C107" s="13" t="s">
        <v>694</v>
      </c>
      <c r="D107" s="13">
        <v>0.5</v>
      </c>
      <c r="E107" s="13" t="s">
        <v>91</v>
      </c>
      <c r="F107" s="13" t="s">
        <v>21</v>
      </c>
      <c r="G107" s="14">
        <v>0.75</v>
      </c>
      <c r="H107" s="13" t="s">
        <v>30</v>
      </c>
      <c r="I107" s="13" t="s">
        <v>86</v>
      </c>
      <c r="J107" s="13" t="s">
        <v>105</v>
      </c>
      <c r="K107" s="13" t="s">
        <v>28</v>
      </c>
      <c r="L107" s="13" t="s">
        <v>647</v>
      </c>
      <c r="M107" s="13" t="s">
        <v>695</v>
      </c>
      <c r="N107" s="13" t="s">
        <v>683</v>
      </c>
      <c r="O107" s="13" t="s">
        <v>644</v>
      </c>
      <c r="P107" s="13" t="s">
        <v>607</v>
      </c>
      <c r="Q107" s="13" t="s">
        <v>615</v>
      </c>
      <c r="R107" s="13" t="s">
        <v>617</v>
      </c>
      <c r="S107" s="13" t="s">
        <v>645</v>
      </c>
      <c r="T107" s="13" t="s">
        <v>55</v>
      </c>
    </row>
    <row r="108" spans="1:20" s="13" customFormat="1" x14ac:dyDescent="0.25">
      <c r="A108" s="13" t="s">
        <v>693</v>
      </c>
      <c r="B108" s="13" t="s">
        <v>632</v>
      </c>
      <c r="C108" s="13" t="s">
        <v>694</v>
      </c>
      <c r="D108" s="13">
        <v>0.5</v>
      </c>
      <c r="E108" s="13" t="s">
        <v>91</v>
      </c>
      <c r="F108" s="13" t="s">
        <v>22</v>
      </c>
      <c r="G108" s="14">
        <v>0.5</v>
      </c>
      <c r="H108" s="13" t="s">
        <v>31</v>
      </c>
      <c r="I108" s="13" t="s">
        <v>86</v>
      </c>
      <c r="J108" s="13" t="s">
        <v>105</v>
      </c>
      <c r="K108" s="13" t="s">
        <v>29</v>
      </c>
      <c r="L108" s="13" t="s">
        <v>647</v>
      </c>
      <c r="M108" s="13" t="s">
        <v>695</v>
      </c>
      <c r="N108" s="13" t="s">
        <v>683</v>
      </c>
      <c r="O108" s="13" t="s">
        <v>644</v>
      </c>
      <c r="P108" s="13" t="s">
        <v>607</v>
      </c>
      <c r="Q108" s="13" t="s">
        <v>615</v>
      </c>
      <c r="R108" s="13" t="s">
        <v>617</v>
      </c>
      <c r="S108" s="13" t="s">
        <v>645</v>
      </c>
      <c r="T108" s="13" t="s">
        <v>55</v>
      </c>
    </row>
    <row r="109" spans="1:20" s="13" customFormat="1" x14ac:dyDescent="0.25">
      <c r="A109" s="13" t="s">
        <v>693</v>
      </c>
      <c r="B109" s="13" t="s">
        <v>632</v>
      </c>
      <c r="C109" s="13" t="s">
        <v>694</v>
      </c>
      <c r="D109" s="13">
        <v>0.5</v>
      </c>
      <c r="E109" s="13" t="s">
        <v>91</v>
      </c>
      <c r="F109" s="13" t="s">
        <v>23</v>
      </c>
      <c r="G109" s="14">
        <v>0.5</v>
      </c>
      <c r="H109" s="13" t="s">
        <v>682</v>
      </c>
      <c r="I109" s="13" t="s">
        <v>86</v>
      </c>
      <c r="J109" s="13" t="s">
        <v>105</v>
      </c>
      <c r="K109" s="13" t="s">
        <v>16</v>
      </c>
      <c r="L109" s="13" t="s">
        <v>647</v>
      </c>
      <c r="M109" s="13" t="s">
        <v>695</v>
      </c>
      <c r="N109" s="15" t="s">
        <v>684</v>
      </c>
      <c r="O109" s="13" t="s">
        <v>644</v>
      </c>
      <c r="P109" s="13" t="s">
        <v>607</v>
      </c>
      <c r="Q109" s="13" t="s">
        <v>615</v>
      </c>
      <c r="R109" s="13" t="s">
        <v>617</v>
      </c>
      <c r="S109" s="13" t="s">
        <v>645</v>
      </c>
      <c r="T109" s="13" t="s">
        <v>55</v>
      </c>
    </row>
    <row r="110" spans="1:20" s="13" customFormat="1" x14ac:dyDescent="0.25">
      <c r="A110" s="13" t="s">
        <v>693</v>
      </c>
      <c r="B110" s="13" t="s">
        <v>632</v>
      </c>
      <c r="C110" s="13" t="s">
        <v>694</v>
      </c>
      <c r="D110" s="13">
        <v>0.5</v>
      </c>
      <c r="E110" s="13" t="s">
        <v>91</v>
      </c>
      <c r="F110" s="13" t="s">
        <v>24</v>
      </c>
      <c r="G110" s="14">
        <v>0.67</v>
      </c>
      <c r="H110" s="13" t="s">
        <v>696</v>
      </c>
      <c r="I110" s="13" t="s">
        <v>86</v>
      </c>
      <c r="J110" s="13" t="s">
        <v>105</v>
      </c>
      <c r="K110" s="13" t="s">
        <v>16</v>
      </c>
      <c r="L110" s="15" t="s">
        <v>651</v>
      </c>
      <c r="M110" s="13" t="s">
        <v>695</v>
      </c>
      <c r="N110" s="13" t="s">
        <v>683</v>
      </c>
      <c r="O110" s="13" t="s">
        <v>644</v>
      </c>
      <c r="P110" s="13" t="s">
        <v>607</v>
      </c>
      <c r="Q110" s="13" t="s">
        <v>615</v>
      </c>
      <c r="R110" s="13" t="s">
        <v>617</v>
      </c>
      <c r="S110" s="13" t="s">
        <v>645</v>
      </c>
      <c r="T110" s="13" t="s">
        <v>55</v>
      </c>
    </row>
    <row r="111" spans="1:20" s="13" customFormat="1" x14ac:dyDescent="0.25">
      <c r="A111" s="13" t="s">
        <v>693</v>
      </c>
      <c r="B111" s="13" t="s">
        <v>632</v>
      </c>
      <c r="C111" s="13" t="s">
        <v>694</v>
      </c>
      <c r="D111" s="13">
        <v>0.5</v>
      </c>
      <c r="E111" s="13" t="s">
        <v>91</v>
      </c>
      <c r="F111" s="13" t="s">
        <v>25</v>
      </c>
      <c r="G111" s="14">
        <v>0.33</v>
      </c>
      <c r="H111" s="13" t="s">
        <v>697</v>
      </c>
      <c r="I111" s="13" t="s">
        <v>86</v>
      </c>
      <c r="J111" s="13" t="s">
        <v>105</v>
      </c>
      <c r="K111" s="13" t="s">
        <v>16</v>
      </c>
      <c r="L111" s="15" t="s">
        <v>601</v>
      </c>
      <c r="M111" s="13" t="s">
        <v>695</v>
      </c>
      <c r="N111" s="13" t="s">
        <v>683</v>
      </c>
      <c r="O111" s="13" t="s">
        <v>644</v>
      </c>
      <c r="P111" s="13" t="s">
        <v>607</v>
      </c>
      <c r="Q111" s="13" t="s">
        <v>615</v>
      </c>
      <c r="R111" s="13" t="s">
        <v>617</v>
      </c>
      <c r="S111" s="13" t="s">
        <v>645</v>
      </c>
      <c r="T111" s="13" t="s">
        <v>55</v>
      </c>
    </row>
    <row r="112" spans="1:20" s="13" customFormat="1" x14ac:dyDescent="0.25">
      <c r="A112" s="13" t="s">
        <v>693</v>
      </c>
      <c r="B112" s="13" t="s">
        <v>632</v>
      </c>
      <c r="C112" s="13" t="s">
        <v>694</v>
      </c>
      <c r="D112" s="13">
        <v>0.5</v>
      </c>
      <c r="E112" s="13" t="s">
        <v>91</v>
      </c>
      <c r="F112" s="13" t="s">
        <v>36</v>
      </c>
      <c r="G112" s="14">
        <v>0.67</v>
      </c>
      <c r="H112" s="13" t="s">
        <v>698</v>
      </c>
      <c r="I112" s="13" t="s">
        <v>86</v>
      </c>
      <c r="J112" s="13" t="s">
        <v>105</v>
      </c>
      <c r="K112" s="13" t="s">
        <v>16</v>
      </c>
      <c r="L112" s="13" t="s">
        <v>647</v>
      </c>
      <c r="M112" s="15" t="s">
        <v>599</v>
      </c>
      <c r="N112" s="13" t="s">
        <v>683</v>
      </c>
      <c r="O112" s="13" t="s">
        <v>644</v>
      </c>
      <c r="P112" s="13" t="s">
        <v>607</v>
      </c>
      <c r="Q112" s="13" t="s">
        <v>615</v>
      </c>
      <c r="R112" s="13" t="s">
        <v>617</v>
      </c>
      <c r="S112" s="13" t="s">
        <v>645</v>
      </c>
      <c r="T112" s="13" t="s">
        <v>55</v>
      </c>
    </row>
    <row r="113" spans="1:20" s="13" customFormat="1" x14ac:dyDescent="0.25">
      <c r="A113" s="13" t="s">
        <v>693</v>
      </c>
      <c r="B113" s="13" t="s">
        <v>632</v>
      </c>
      <c r="C113" s="13" t="s">
        <v>694</v>
      </c>
      <c r="D113" s="13">
        <v>0.5</v>
      </c>
      <c r="E113" s="13" t="s">
        <v>91</v>
      </c>
      <c r="F113" s="13" t="s">
        <v>37</v>
      </c>
      <c r="G113" s="14">
        <v>0.33</v>
      </c>
      <c r="H113" s="13" t="s">
        <v>699</v>
      </c>
      <c r="I113" s="13" t="s">
        <v>86</v>
      </c>
      <c r="J113" s="13" t="s">
        <v>105</v>
      </c>
      <c r="K113" s="13" t="s">
        <v>16</v>
      </c>
      <c r="L113" s="13" t="s">
        <v>647</v>
      </c>
      <c r="M113" s="15" t="s">
        <v>600</v>
      </c>
      <c r="N113" s="13" t="s">
        <v>683</v>
      </c>
      <c r="O113" s="13" t="s">
        <v>644</v>
      </c>
      <c r="P113" s="13" t="s">
        <v>607</v>
      </c>
      <c r="Q113" s="13" t="s">
        <v>615</v>
      </c>
      <c r="R113" s="13" t="s">
        <v>617</v>
      </c>
      <c r="S113" s="13" t="s">
        <v>645</v>
      </c>
      <c r="T113" s="13" t="s">
        <v>55</v>
      </c>
    </row>
    <row r="114" spans="1:20" s="13" customFormat="1" x14ac:dyDescent="0.25">
      <c r="A114" s="13" t="s">
        <v>693</v>
      </c>
      <c r="B114" s="13" t="s">
        <v>632</v>
      </c>
      <c r="C114" s="13" t="s">
        <v>694</v>
      </c>
      <c r="F114" s="13" t="s">
        <v>38</v>
      </c>
      <c r="G114" s="14">
        <v>0.67</v>
      </c>
      <c r="H114" s="13" t="s">
        <v>657</v>
      </c>
      <c r="I114" s="13" t="s">
        <v>86</v>
      </c>
      <c r="J114" s="13" t="s">
        <v>105</v>
      </c>
      <c r="K114" s="13" t="s">
        <v>16</v>
      </c>
      <c r="L114" s="13" t="s">
        <v>647</v>
      </c>
      <c r="M114" s="13" t="s">
        <v>695</v>
      </c>
      <c r="N114" s="13" t="s">
        <v>683</v>
      </c>
      <c r="O114" s="15" t="s">
        <v>643</v>
      </c>
      <c r="P114" s="13" t="s">
        <v>607</v>
      </c>
      <c r="Q114" s="13" t="s">
        <v>615</v>
      </c>
      <c r="R114" s="13" t="s">
        <v>617</v>
      </c>
      <c r="S114" s="13" t="s">
        <v>645</v>
      </c>
      <c r="T114" s="13" t="s">
        <v>55</v>
      </c>
    </row>
    <row r="115" spans="1:20" s="13" customFormat="1" x14ac:dyDescent="0.25">
      <c r="A115" s="13" t="s">
        <v>693</v>
      </c>
      <c r="B115" s="13" t="s">
        <v>632</v>
      </c>
      <c r="C115" s="13" t="s">
        <v>694</v>
      </c>
      <c r="D115" s="13">
        <v>0.5</v>
      </c>
      <c r="E115" s="13" t="s">
        <v>91</v>
      </c>
      <c r="F115" s="13" t="s">
        <v>64</v>
      </c>
      <c r="G115" s="14">
        <v>0.5</v>
      </c>
      <c r="H115" s="13" t="s">
        <v>603</v>
      </c>
      <c r="I115" s="13" t="s">
        <v>86</v>
      </c>
      <c r="J115" s="13" t="s">
        <v>105</v>
      </c>
      <c r="K115" s="13" t="s">
        <v>16</v>
      </c>
      <c r="L115" s="13" t="s">
        <v>647</v>
      </c>
      <c r="M115" s="13" t="s">
        <v>695</v>
      </c>
      <c r="N115" s="13" t="s">
        <v>683</v>
      </c>
      <c r="O115" s="15" t="s">
        <v>656</v>
      </c>
      <c r="P115" s="13" t="s">
        <v>607</v>
      </c>
      <c r="Q115" s="13" t="s">
        <v>615</v>
      </c>
      <c r="R115" s="13" t="s">
        <v>617</v>
      </c>
      <c r="S115" s="13" t="s">
        <v>645</v>
      </c>
      <c r="T115" s="13" t="s">
        <v>55</v>
      </c>
    </row>
    <row r="116" spans="1:20" s="13" customFormat="1" x14ac:dyDescent="0.25">
      <c r="A116" s="13" t="s">
        <v>693</v>
      </c>
      <c r="B116" s="13" t="s">
        <v>632</v>
      </c>
      <c r="C116" s="13" t="s">
        <v>694</v>
      </c>
      <c r="D116" s="13">
        <v>0.5</v>
      </c>
      <c r="E116" s="13" t="s">
        <v>91</v>
      </c>
      <c r="F116" s="13" t="s">
        <v>111</v>
      </c>
      <c r="G116" s="14">
        <v>0.25</v>
      </c>
      <c r="H116" s="13" t="s">
        <v>660</v>
      </c>
      <c r="I116" s="13" t="s">
        <v>86</v>
      </c>
      <c r="J116" s="13" t="s">
        <v>105</v>
      </c>
      <c r="K116" s="13" t="s">
        <v>16</v>
      </c>
      <c r="L116" s="13" t="s">
        <v>647</v>
      </c>
      <c r="M116" s="13" t="s">
        <v>695</v>
      </c>
      <c r="N116" s="13" t="s">
        <v>683</v>
      </c>
      <c r="O116" s="15" t="s">
        <v>661</v>
      </c>
      <c r="P116" s="13" t="s">
        <v>607</v>
      </c>
      <c r="Q116" s="13" t="s">
        <v>615</v>
      </c>
      <c r="R116" s="13" t="s">
        <v>617</v>
      </c>
      <c r="S116" s="13" t="s">
        <v>645</v>
      </c>
      <c r="T116" s="13" t="s">
        <v>55</v>
      </c>
    </row>
    <row r="117" spans="1:20" s="13" customFormat="1" x14ac:dyDescent="0.25">
      <c r="A117" s="13" t="s">
        <v>693</v>
      </c>
      <c r="B117" s="13" t="s">
        <v>632</v>
      </c>
      <c r="C117" s="13" t="s">
        <v>694</v>
      </c>
      <c r="D117" s="13">
        <v>0.5</v>
      </c>
      <c r="E117" s="13" t="s">
        <v>91</v>
      </c>
      <c r="F117" s="13" t="s">
        <v>123</v>
      </c>
      <c r="G117" s="14">
        <v>0.1</v>
      </c>
      <c r="H117" s="13" t="s">
        <v>608</v>
      </c>
      <c r="I117" s="13" t="s">
        <v>86</v>
      </c>
      <c r="J117" s="13" t="s">
        <v>105</v>
      </c>
      <c r="K117" s="13" t="s">
        <v>16</v>
      </c>
      <c r="L117" s="13" t="s">
        <v>647</v>
      </c>
      <c r="M117" s="13" t="s">
        <v>695</v>
      </c>
      <c r="N117" s="13" t="s">
        <v>683</v>
      </c>
      <c r="O117" s="13" t="s">
        <v>644</v>
      </c>
      <c r="P117" s="15" t="s">
        <v>609</v>
      </c>
      <c r="Q117" s="13" t="s">
        <v>615</v>
      </c>
      <c r="R117" s="13" t="s">
        <v>617</v>
      </c>
      <c r="S117" s="13" t="s">
        <v>645</v>
      </c>
      <c r="T117" s="13" t="s">
        <v>55</v>
      </c>
    </row>
    <row r="118" spans="1:20" s="13" customFormat="1" x14ac:dyDescent="0.25">
      <c r="A118" s="13" t="s">
        <v>693</v>
      </c>
      <c r="B118" s="13" t="s">
        <v>632</v>
      </c>
      <c r="C118" s="13" t="s">
        <v>694</v>
      </c>
      <c r="D118" s="13">
        <v>0.5</v>
      </c>
      <c r="E118" s="13" t="s">
        <v>91</v>
      </c>
      <c r="F118" s="13" t="s">
        <v>595</v>
      </c>
      <c r="G118" s="14">
        <v>0.75</v>
      </c>
      <c r="H118" s="13" t="s">
        <v>614</v>
      </c>
      <c r="I118" s="13" t="s">
        <v>86</v>
      </c>
      <c r="J118" s="13" t="s">
        <v>105</v>
      </c>
      <c r="K118" s="13" t="s">
        <v>16</v>
      </c>
      <c r="L118" s="13" t="s">
        <v>647</v>
      </c>
      <c r="M118" s="13" t="s">
        <v>695</v>
      </c>
      <c r="N118" s="13" t="s">
        <v>683</v>
      </c>
      <c r="O118" s="13" t="s">
        <v>644</v>
      </c>
      <c r="P118" s="13" t="s">
        <v>607</v>
      </c>
      <c r="Q118" s="15" t="s">
        <v>616</v>
      </c>
      <c r="R118" s="13" t="s">
        <v>617</v>
      </c>
      <c r="S118" s="13" t="s">
        <v>645</v>
      </c>
      <c r="T118" s="13" t="s">
        <v>55</v>
      </c>
    </row>
    <row r="119" spans="1:20" s="13" customFormat="1" x14ac:dyDescent="0.25">
      <c r="A119" s="13" t="s">
        <v>693</v>
      </c>
      <c r="B119" s="13" t="s">
        <v>632</v>
      </c>
      <c r="C119" s="13" t="s">
        <v>694</v>
      </c>
      <c r="D119" s="13">
        <v>0.5</v>
      </c>
      <c r="E119" s="13" t="s">
        <v>91</v>
      </c>
      <c r="F119" s="13" t="s">
        <v>596</v>
      </c>
      <c r="G119" s="14">
        <v>0.1</v>
      </c>
      <c r="H119" s="13" t="s">
        <v>618</v>
      </c>
      <c r="I119" s="13" t="s">
        <v>86</v>
      </c>
      <c r="J119" s="13" t="s">
        <v>105</v>
      </c>
      <c r="K119" s="13" t="s">
        <v>16</v>
      </c>
      <c r="L119" s="13" t="s">
        <v>647</v>
      </c>
      <c r="M119" s="13" t="s">
        <v>695</v>
      </c>
      <c r="N119" s="13" t="s">
        <v>683</v>
      </c>
      <c r="O119" s="13" t="s">
        <v>644</v>
      </c>
      <c r="P119" s="13" t="s">
        <v>607</v>
      </c>
      <c r="Q119" s="13" t="s">
        <v>615</v>
      </c>
      <c r="R119" s="15" t="s">
        <v>619</v>
      </c>
      <c r="S119" s="13" t="s">
        <v>645</v>
      </c>
      <c r="T119" s="13" t="s">
        <v>55</v>
      </c>
    </row>
    <row r="120" spans="1:20" s="13" customFormat="1" x14ac:dyDescent="0.25">
      <c r="A120" s="13" t="s">
        <v>693</v>
      </c>
      <c r="B120" s="13" t="s">
        <v>632</v>
      </c>
      <c r="C120" s="13" t="s">
        <v>694</v>
      </c>
      <c r="D120" s="13">
        <v>0.5</v>
      </c>
      <c r="E120" s="13" t="s">
        <v>91</v>
      </c>
      <c r="F120" s="13" t="s">
        <v>613</v>
      </c>
      <c r="G120" s="14">
        <v>0.67</v>
      </c>
      <c r="H120" s="13" t="s">
        <v>662</v>
      </c>
      <c r="I120" s="13" t="s">
        <v>86</v>
      </c>
      <c r="J120" s="13" t="s">
        <v>105</v>
      </c>
      <c r="K120" s="13" t="s">
        <v>16</v>
      </c>
      <c r="L120" s="13" t="s">
        <v>647</v>
      </c>
      <c r="M120" s="13" t="s">
        <v>695</v>
      </c>
      <c r="N120" s="13" t="s">
        <v>683</v>
      </c>
      <c r="O120" s="13" t="s">
        <v>644</v>
      </c>
      <c r="P120" s="13" t="s">
        <v>607</v>
      </c>
      <c r="Q120" s="13" t="s">
        <v>615</v>
      </c>
      <c r="R120" s="13" t="s">
        <v>617</v>
      </c>
      <c r="S120" s="15" t="s">
        <v>620</v>
      </c>
      <c r="T120" s="13" t="s">
        <v>55</v>
      </c>
    </row>
    <row r="121" spans="1:20" s="13" customFormat="1" x14ac:dyDescent="0.25">
      <c r="A121" s="13" t="s">
        <v>693</v>
      </c>
      <c r="B121" s="13" t="s">
        <v>632</v>
      </c>
      <c r="C121" s="13" t="s">
        <v>694</v>
      </c>
      <c r="D121" s="13">
        <v>0.5</v>
      </c>
      <c r="E121" s="13" t="s">
        <v>91</v>
      </c>
      <c r="F121" s="13" t="s">
        <v>648</v>
      </c>
      <c r="G121" s="14">
        <v>0.33</v>
      </c>
      <c r="H121" s="13" t="s">
        <v>621</v>
      </c>
      <c r="I121" s="13" t="s">
        <v>86</v>
      </c>
      <c r="J121" s="13" t="s">
        <v>105</v>
      </c>
      <c r="K121" s="13" t="s">
        <v>16</v>
      </c>
      <c r="L121" s="13" t="s">
        <v>647</v>
      </c>
      <c r="M121" s="13" t="s">
        <v>695</v>
      </c>
      <c r="N121" s="13" t="s">
        <v>683</v>
      </c>
      <c r="O121" s="13" t="s">
        <v>644</v>
      </c>
      <c r="P121" s="13" t="s">
        <v>607</v>
      </c>
      <c r="Q121" s="13" t="s">
        <v>615</v>
      </c>
      <c r="R121" s="13" t="s">
        <v>617</v>
      </c>
      <c r="S121" s="15" t="s">
        <v>663</v>
      </c>
      <c r="T121" s="13" t="s">
        <v>55</v>
      </c>
    </row>
    <row r="122" spans="1:20" s="13" customFormat="1" x14ac:dyDescent="0.25">
      <c r="A122" s="13" t="s">
        <v>693</v>
      </c>
      <c r="B122" s="13" t="s">
        <v>632</v>
      </c>
      <c r="C122" s="13" t="s">
        <v>694</v>
      </c>
      <c r="D122" s="13">
        <v>0.5</v>
      </c>
      <c r="E122" s="13" t="s">
        <v>91</v>
      </c>
      <c r="F122" s="13" t="s">
        <v>658</v>
      </c>
      <c r="G122" s="14">
        <v>0.25</v>
      </c>
      <c r="H122" s="13" t="s">
        <v>622</v>
      </c>
      <c r="I122" s="13" t="s">
        <v>86</v>
      </c>
      <c r="J122" s="13" t="s">
        <v>105</v>
      </c>
      <c r="K122" s="13" t="s">
        <v>16</v>
      </c>
      <c r="L122" s="13" t="s">
        <v>647</v>
      </c>
      <c r="M122" s="13" t="s">
        <v>695</v>
      </c>
      <c r="N122" s="13" t="s">
        <v>683</v>
      </c>
      <c r="O122" s="13" t="s">
        <v>644</v>
      </c>
      <c r="P122" s="13" t="s">
        <v>607</v>
      </c>
      <c r="Q122" s="13" t="s">
        <v>615</v>
      </c>
      <c r="R122" s="13" t="s">
        <v>617</v>
      </c>
      <c r="S122" s="13" t="s">
        <v>645</v>
      </c>
      <c r="T122" s="15" t="s">
        <v>568</v>
      </c>
    </row>
    <row r="123" spans="1:20" s="10" customFormat="1" x14ac:dyDescent="0.25">
      <c r="A123" s="10" t="s">
        <v>700</v>
      </c>
      <c r="B123" s="10" t="s">
        <v>639</v>
      </c>
      <c r="C123" s="10" t="s">
        <v>701</v>
      </c>
      <c r="D123" s="10">
        <v>0.5</v>
      </c>
      <c r="E123" s="10" t="s">
        <v>91</v>
      </c>
      <c r="F123" s="10" t="s">
        <v>18</v>
      </c>
      <c r="G123" s="11">
        <v>1</v>
      </c>
      <c r="H123" s="10" t="s">
        <v>652</v>
      </c>
      <c r="I123" s="10" t="s">
        <v>702</v>
      </c>
      <c r="J123" s="10" t="s">
        <v>105</v>
      </c>
      <c r="K123" s="10" t="s">
        <v>16</v>
      </c>
      <c r="L123" s="10" t="s">
        <v>668</v>
      </c>
      <c r="M123" s="10" t="s">
        <v>599</v>
      </c>
      <c r="N123" s="10" t="s">
        <v>597</v>
      </c>
      <c r="O123" s="10" t="s">
        <v>644</v>
      </c>
      <c r="P123" s="10" t="s">
        <v>604</v>
      </c>
      <c r="Q123" s="10" t="s">
        <v>607</v>
      </c>
      <c r="R123" s="10" t="s">
        <v>617</v>
      </c>
      <c r="S123" s="10" t="s">
        <v>645</v>
      </c>
      <c r="T123" s="10" t="s">
        <v>55</v>
      </c>
    </row>
    <row r="124" spans="1:20" s="10" customFormat="1" x14ac:dyDescent="0.25">
      <c r="A124" s="10" t="s">
        <v>700</v>
      </c>
      <c r="B124" s="10" t="s">
        <v>639</v>
      </c>
      <c r="C124" s="10" t="s">
        <v>701</v>
      </c>
      <c r="D124" s="10">
        <v>0.5</v>
      </c>
      <c r="E124" s="10" t="s">
        <v>91</v>
      </c>
      <c r="F124" s="10" t="s">
        <v>21</v>
      </c>
      <c r="G124" s="11">
        <v>0.75</v>
      </c>
      <c r="H124" s="10" t="s">
        <v>30</v>
      </c>
      <c r="I124" s="10" t="s">
        <v>702</v>
      </c>
      <c r="J124" s="10" t="s">
        <v>105</v>
      </c>
      <c r="K124" s="10" t="s">
        <v>28</v>
      </c>
      <c r="L124" s="10" t="s">
        <v>668</v>
      </c>
      <c r="M124" s="10" t="s">
        <v>599</v>
      </c>
      <c r="N124" s="10" t="s">
        <v>597</v>
      </c>
      <c r="O124" s="10" t="s">
        <v>644</v>
      </c>
      <c r="P124" s="10" t="s">
        <v>604</v>
      </c>
      <c r="Q124" s="10" t="s">
        <v>607</v>
      </c>
      <c r="R124" s="10" t="s">
        <v>617</v>
      </c>
      <c r="S124" s="10" t="s">
        <v>645</v>
      </c>
      <c r="T124" s="10" t="s">
        <v>55</v>
      </c>
    </row>
    <row r="125" spans="1:20" s="10" customFormat="1" x14ac:dyDescent="0.25">
      <c r="A125" s="10" t="s">
        <v>700</v>
      </c>
      <c r="B125" s="10" t="s">
        <v>639</v>
      </c>
      <c r="C125" s="10" t="s">
        <v>701</v>
      </c>
      <c r="D125" s="10">
        <v>0.5</v>
      </c>
      <c r="E125" s="10" t="s">
        <v>91</v>
      </c>
      <c r="F125" s="10" t="s">
        <v>22</v>
      </c>
      <c r="G125" s="11">
        <v>0.5</v>
      </c>
      <c r="H125" s="10" t="s">
        <v>31</v>
      </c>
      <c r="I125" s="10" t="s">
        <v>702</v>
      </c>
      <c r="J125" s="10" t="s">
        <v>105</v>
      </c>
      <c r="K125" s="10" t="s">
        <v>29</v>
      </c>
      <c r="L125" s="10" t="s">
        <v>668</v>
      </c>
      <c r="M125" s="10" t="s">
        <v>599</v>
      </c>
      <c r="N125" s="10" t="s">
        <v>597</v>
      </c>
      <c r="O125" s="10" t="s">
        <v>644</v>
      </c>
      <c r="P125" s="10" t="s">
        <v>604</v>
      </c>
      <c r="Q125" s="10" t="s">
        <v>607</v>
      </c>
      <c r="R125" s="10" t="s">
        <v>617</v>
      </c>
      <c r="S125" s="10" t="s">
        <v>645</v>
      </c>
      <c r="T125" s="10" t="s">
        <v>55</v>
      </c>
    </row>
    <row r="126" spans="1:20" s="10" customFormat="1" x14ac:dyDescent="0.25">
      <c r="A126" s="10" t="s">
        <v>700</v>
      </c>
      <c r="B126" s="10" t="s">
        <v>639</v>
      </c>
      <c r="C126" s="10" t="s">
        <v>701</v>
      </c>
      <c r="D126" s="10">
        <v>0.5</v>
      </c>
      <c r="E126" s="10" t="s">
        <v>91</v>
      </c>
      <c r="F126" s="10" t="s">
        <v>23</v>
      </c>
      <c r="G126" s="11">
        <v>0.5</v>
      </c>
      <c r="H126" s="10" t="s">
        <v>646</v>
      </c>
      <c r="I126" s="10" t="s">
        <v>702</v>
      </c>
      <c r="J126" s="10" t="s">
        <v>105</v>
      </c>
      <c r="K126" s="10" t="s">
        <v>16</v>
      </c>
      <c r="L126" s="10" t="s">
        <v>668</v>
      </c>
      <c r="M126" s="10" t="s">
        <v>599</v>
      </c>
      <c r="N126" s="12" t="s">
        <v>598</v>
      </c>
      <c r="O126" s="10" t="s">
        <v>644</v>
      </c>
      <c r="P126" s="10" t="s">
        <v>604</v>
      </c>
      <c r="Q126" s="10" t="s">
        <v>607</v>
      </c>
      <c r="R126" s="10" t="s">
        <v>617</v>
      </c>
      <c r="S126" s="10" t="s">
        <v>645</v>
      </c>
      <c r="T126" s="10" t="s">
        <v>55</v>
      </c>
    </row>
    <row r="127" spans="1:20" s="10" customFormat="1" x14ac:dyDescent="0.25">
      <c r="A127" s="10" t="s">
        <v>700</v>
      </c>
      <c r="B127" s="10" t="s">
        <v>639</v>
      </c>
      <c r="C127" s="10" t="s">
        <v>701</v>
      </c>
      <c r="D127" s="10">
        <v>0.5</v>
      </c>
      <c r="E127" s="10" t="s">
        <v>91</v>
      </c>
      <c r="F127" s="10" t="s">
        <v>24</v>
      </c>
      <c r="G127" s="11">
        <v>0.67</v>
      </c>
      <c r="H127" s="10" t="s">
        <v>676</v>
      </c>
      <c r="I127" s="10" t="s">
        <v>702</v>
      </c>
      <c r="J127" s="10" t="s">
        <v>105</v>
      </c>
      <c r="K127" s="10" t="s">
        <v>16</v>
      </c>
      <c r="L127" s="12" t="s">
        <v>675</v>
      </c>
      <c r="M127" s="10" t="s">
        <v>599</v>
      </c>
      <c r="N127" s="10" t="s">
        <v>597</v>
      </c>
      <c r="O127" s="10" t="s">
        <v>644</v>
      </c>
      <c r="P127" s="10" t="s">
        <v>604</v>
      </c>
      <c r="Q127" s="10" t="s">
        <v>607</v>
      </c>
      <c r="R127" s="10" t="s">
        <v>617</v>
      </c>
      <c r="S127" s="10" t="s">
        <v>645</v>
      </c>
      <c r="T127" s="10" t="s">
        <v>55</v>
      </c>
    </row>
    <row r="128" spans="1:20" s="10" customFormat="1" x14ac:dyDescent="0.25">
      <c r="A128" s="10" t="s">
        <v>700</v>
      </c>
      <c r="B128" s="10" t="s">
        <v>639</v>
      </c>
      <c r="C128" s="10" t="s">
        <v>701</v>
      </c>
      <c r="D128" s="10">
        <v>0.5</v>
      </c>
      <c r="E128" s="10" t="s">
        <v>91</v>
      </c>
      <c r="F128" s="10" t="s">
        <v>25</v>
      </c>
      <c r="G128" s="11">
        <v>0.33</v>
      </c>
      <c r="H128" s="10" t="s">
        <v>602</v>
      </c>
      <c r="I128" s="10" t="s">
        <v>702</v>
      </c>
      <c r="J128" s="10" t="s">
        <v>105</v>
      </c>
      <c r="K128" s="10" t="s">
        <v>16</v>
      </c>
      <c r="L128" s="10" t="s">
        <v>668</v>
      </c>
      <c r="M128" s="12" t="s">
        <v>600</v>
      </c>
      <c r="N128" s="10" t="s">
        <v>597</v>
      </c>
      <c r="O128" s="10" t="s">
        <v>644</v>
      </c>
      <c r="P128" s="10" t="s">
        <v>604</v>
      </c>
      <c r="Q128" s="10" t="s">
        <v>607</v>
      </c>
      <c r="R128" s="10" t="s">
        <v>617</v>
      </c>
      <c r="S128" s="10" t="s">
        <v>645</v>
      </c>
      <c r="T128" s="10" t="s">
        <v>55</v>
      </c>
    </row>
    <row r="129" spans="1:21" s="10" customFormat="1" x14ac:dyDescent="0.25">
      <c r="A129" s="10" t="s">
        <v>700</v>
      </c>
      <c r="B129" s="10" t="s">
        <v>639</v>
      </c>
      <c r="C129" s="10" t="s">
        <v>701</v>
      </c>
      <c r="F129" s="10" t="s">
        <v>36</v>
      </c>
      <c r="G129" s="11">
        <v>0.5</v>
      </c>
      <c r="H129" s="10" t="s">
        <v>657</v>
      </c>
      <c r="I129" s="10" t="s">
        <v>702</v>
      </c>
      <c r="J129" s="10" t="s">
        <v>105</v>
      </c>
      <c r="K129" s="10" t="s">
        <v>16</v>
      </c>
      <c r="L129" s="10" t="s">
        <v>668</v>
      </c>
      <c r="M129" s="10" t="s">
        <v>599</v>
      </c>
      <c r="N129" s="10" t="s">
        <v>597</v>
      </c>
      <c r="O129" s="12" t="s">
        <v>643</v>
      </c>
      <c r="P129" s="10" t="s">
        <v>604</v>
      </c>
      <c r="Q129" s="10" t="s">
        <v>607</v>
      </c>
      <c r="R129" s="10" t="s">
        <v>617</v>
      </c>
      <c r="S129" s="10" t="s">
        <v>645</v>
      </c>
      <c r="T129" s="10" t="s">
        <v>55</v>
      </c>
    </row>
    <row r="130" spans="1:21" s="10" customFormat="1" x14ac:dyDescent="0.25">
      <c r="A130" s="10" t="s">
        <v>700</v>
      </c>
      <c r="B130" s="10" t="s">
        <v>639</v>
      </c>
      <c r="C130" s="10" t="s">
        <v>701</v>
      </c>
      <c r="D130" s="10">
        <v>0.5</v>
      </c>
      <c r="E130" s="10" t="s">
        <v>91</v>
      </c>
      <c r="F130" s="10" t="s">
        <v>37</v>
      </c>
      <c r="G130" s="11">
        <v>0.33</v>
      </c>
      <c r="H130" s="10" t="s">
        <v>603</v>
      </c>
      <c r="I130" s="10" t="s">
        <v>702</v>
      </c>
      <c r="J130" s="10" t="s">
        <v>105</v>
      </c>
      <c r="K130" s="10" t="s">
        <v>16</v>
      </c>
      <c r="L130" s="10" t="s">
        <v>668</v>
      </c>
      <c r="M130" s="10" t="s">
        <v>599</v>
      </c>
      <c r="N130" s="10" t="s">
        <v>597</v>
      </c>
      <c r="O130" s="12" t="s">
        <v>656</v>
      </c>
      <c r="P130" s="10" t="s">
        <v>604</v>
      </c>
      <c r="Q130" s="10" t="s">
        <v>607</v>
      </c>
      <c r="R130" s="10" t="s">
        <v>617</v>
      </c>
      <c r="S130" s="10" t="s">
        <v>645</v>
      </c>
      <c r="T130" s="10" t="s">
        <v>55</v>
      </c>
    </row>
    <row r="131" spans="1:21" s="10" customFormat="1" x14ac:dyDescent="0.25">
      <c r="A131" s="10" t="s">
        <v>700</v>
      </c>
      <c r="B131" s="10" t="s">
        <v>639</v>
      </c>
      <c r="C131" s="10" t="s">
        <v>701</v>
      </c>
      <c r="D131" s="10">
        <v>0.5</v>
      </c>
      <c r="E131" s="10" t="s">
        <v>91</v>
      </c>
      <c r="F131" s="10" t="s">
        <v>38</v>
      </c>
      <c r="G131" s="11">
        <v>0.1</v>
      </c>
      <c r="H131" s="10" t="s">
        <v>660</v>
      </c>
      <c r="I131" s="10" t="s">
        <v>702</v>
      </c>
      <c r="J131" s="10" t="s">
        <v>105</v>
      </c>
      <c r="K131" s="10" t="s">
        <v>16</v>
      </c>
      <c r="L131" s="10" t="s">
        <v>668</v>
      </c>
      <c r="M131" s="10" t="s">
        <v>599</v>
      </c>
      <c r="N131" s="10" t="s">
        <v>597</v>
      </c>
      <c r="O131" s="12" t="s">
        <v>661</v>
      </c>
      <c r="P131" s="10" t="s">
        <v>604</v>
      </c>
      <c r="Q131" s="10" t="s">
        <v>607</v>
      </c>
      <c r="R131" s="10" t="s">
        <v>617</v>
      </c>
      <c r="S131" s="10" t="s">
        <v>645</v>
      </c>
      <c r="T131" s="10" t="s">
        <v>55</v>
      </c>
    </row>
    <row r="132" spans="1:21" s="10" customFormat="1" x14ac:dyDescent="0.25">
      <c r="A132" s="10" t="s">
        <v>700</v>
      </c>
      <c r="B132" s="10" t="s">
        <v>639</v>
      </c>
      <c r="C132" s="10" t="s">
        <v>701</v>
      </c>
      <c r="D132" s="10">
        <v>0.5</v>
      </c>
      <c r="E132" s="10" t="s">
        <v>91</v>
      </c>
      <c r="F132" s="10" t="s">
        <v>64</v>
      </c>
      <c r="G132" s="11">
        <v>0.5</v>
      </c>
      <c r="H132" s="10" t="s">
        <v>606</v>
      </c>
      <c r="I132" s="10" t="s">
        <v>702</v>
      </c>
      <c r="J132" s="10" t="s">
        <v>105</v>
      </c>
      <c r="K132" s="10" t="s">
        <v>16</v>
      </c>
      <c r="L132" s="10" t="s">
        <v>668</v>
      </c>
      <c r="M132" s="10" t="s">
        <v>599</v>
      </c>
      <c r="N132" s="10" t="s">
        <v>597</v>
      </c>
      <c r="O132" s="10" t="s">
        <v>644</v>
      </c>
      <c r="P132" s="12" t="s">
        <v>605</v>
      </c>
      <c r="Q132" s="10" t="s">
        <v>607</v>
      </c>
      <c r="R132" s="10" t="s">
        <v>617</v>
      </c>
      <c r="S132" s="10" t="s">
        <v>645</v>
      </c>
      <c r="T132" s="10" t="s">
        <v>55</v>
      </c>
    </row>
    <row r="133" spans="1:21" s="10" customFormat="1" x14ac:dyDescent="0.25">
      <c r="A133" s="10" t="s">
        <v>700</v>
      </c>
      <c r="B133" s="10" t="s">
        <v>639</v>
      </c>
      <c r="C133" s="10" t="s">
        <v>701</v>
      </c>
      <c r="D133" s="10">
        <v>0.5</v>
      </c>
      <c r="E133" s="10" t="s">
        <v>91</v>
      </c>
      <c r="F133" s="10" t="s">
        <v>111</v>
      </c>
      <c r="G133" s="11">
        <v>0.1</v>
      </c>
      <c r="H133" s="10" t="s">
        <v>608</v>
      </c>
      <c r="I133" s="10" t="s">
        <v>702</v>
      </c>
      <c r="J133" s="10" t="s">
        <v>105</v>
      </c>
      <c r="K133" s="10" t="s">
        <v>16</v>
      </c>
      <c r="L133" s="10" t="s">
        <v>668</v>
      </c>
      <c r="M133" s="10" t="s">
        <v>599</v>
      </c>
      <c r="N133" s="10" t="s">
        <v>597</v>
      </c>
      <c r="O133" s="10" t="s">
        <v>644</v>
      </c>
      <c r="P133" s="10" t="s">
        <v>604</v>
      </c>
      <c r="Q133" s="12" t="s">
        <v>609</v>
      </c>
      <c r="R133" s="10" t="s">
        <v>617</v>
      </c>
      <c r="S133" s="10" t="s">
        <v>645</v>
      </c>
      <c r="T133" s="10" t="s">
        <v>55</v>
      </c>
    </row>
    <row r="134" spans="1:21" s="10" customFormat="1" x14ac:dyDescent="0.25">
      <c r="A134" s="10" t="s">
        <v>700</v>
      </c>
      <c r="B134" s="10" t="s">
        <v>639</v>
      </c>
      <c r="C134" s="10" t="s">
        <v>701</v>
      </c>
      <c r="D134" s="10">
        <v>0.5</v>
      </c>
      <c r="E134" s="10" t="s">
        <v>91</v>
      </c>
      <c r="F134" s="10" t="s">
        <v>595</v>
      </c>
      <c r="G134" s="11">
        <v>0.1</v>
      </c>
      <c r="H134" s="10" t="s">
        <v>618</v>
      </c>
      <c r="I134" s="10" t="s">
        <v>702</v>
      </c>
      <c r="J134" s="10" t="s">
        <v>105</v>
      </c>
      <c r="K134" s="10" t="s">
        <v>16</v>
      </c>
      <c r="L134" s="10" t="s">
        <v>668</v>
      </c>
      <c r="M134" s="10" t="s">
        <v>599</v>
      </c>
      <c r="N134" s="10" t="s">
        <v>597</v>
      </c>
      <c r="O134" s="10" t="s">
        <v>644</v>
      </c>
      <c r="P134" s="10" t="s">
        <v>604</v>
      </c>
      <c r="Q134" s="10" t="s">
        <v>607</v>
      </c>
      <c r="R134" s="12" t="s">
        <v>619</v>
      </c>
      <c r="S134" s="10" t="s">
        <v>645</v>
      </c>
      <c r="T134" s="10" t="s">
        <v>55</v>
      </c>
    </row>
    <row r="135" spans="1:21" s="10" customFormat="1" x14ac:dyDescent="0.25">
      <c r="A135" s="10" t="s">
        <v>700</v>
      </c>
      <c r="B135" s="10" t="s">
        <v>639</v>
      </c>
      <c r="C135" s="10" t="s">
        <v>701</v>
      </c>
      <c r="D135" s="10">
        <v>0.5</v>
      </c>
      <c r="E135" s="10" t="s">
        <v>91</v>
      </c>
      <c r="F135" s="10" t="s">
        <v>596</v>
      </c>
      <c r="G135" s="11">
        <v>0.5</v>
      </c>
      <c r="H135" s="10" t="s">
        <v>662</v>
      </c>
      <c r="I135" s="10" t="s">
        <v>702</v>
      </c>
      <c r="J135" s="10" t="s">
        <v>105</v>
      </c>
      <c r="K135" s="10" t="s">
        <v>16</v>
      </c>
      <c r="L135" s="10" t="s">
        <v>668</v>
      </c>
      <c r="M135" s="10" t="s">
        <v>599</v>
      </c>
      <c r="N135" s="10" t="s">
        <v>597</v>
      </c>
      <c r="O135" s="10" t="s">
        <v>644</v>
      </c>
      <c r="P135" s="10" t="s">
        <v>604</v>
      </c>
      <c r="Q135" s="10" t="s">
        <v>607</v>
      </c>
      <c r="R135" s="10" t="s">
        <v>617</v>
      </c>
      <c r="S135" s="12" t="s">
        <v>620</v>
      </c>
      <c r="T135" s="10" t="s">
        <v>55</v>
      </c>
    </row>
    <row r="136" spans="1:21" s="10" customFormat="1" x14ac:dyDescent="0.25">
      <c r="A136" s="10" t="s">
        <v>700</v>
      </c>
      <c r="B136" s="10" t="s">
        <v>639</v>
      </c>
      <c r="C136" s="10" t="s">
        <v>701</v>
      </c>
      <c r="D136" s="10">
        <v>0.5</v>
      </c>
      <c r="E136" s="10" t="s">
        <v>91</v>
      </c>
      <c r="F136" s="10" t="s">
        <v>613</v>
      </c>
      <c r="G136" s="11">
        <v>0.1</v>
      </c>
      <c r="H136" s="10" t="s">
        <v>621</v>
      </c>
      <c r="I136" s="10" t="s">
        <v>702</v>
      </c>
      <c r="J136" s="10" t="s">
        <v>105</v>
      </c>
      <c r="K136" s="10" t="s">
        <v>16</v>
      </c>
      <c r="L136" s="10" t="s">
        <v>668</v>
      </c>
      <c r="M136" s="10" t="s">
        <v>599</v>
      </c>
      <c r="N136" s="10" t="s">
        <v>597</v>
      </c>
      <c r="O136" s="10" t="s">
        <v>644</v>
      </c>
      <c r="P136" s="10" t="s">
        <v>604</v>
      </c>
      <c r="Q136" s="10" t="s">
        <v>607</v>
      </c>
      <c r="R136" s="10" t="s">
        <v>617</v>
      </c>
      <c r="S136" s="12" t="s">
        <v>663</v>
      </c>
      <c r="T136" s="10" t="s">
        <v>55</v>
      </c>
    </row>
    <row r="137" spans="1:21" s="10" customFormat="1" x14ac:dyDescent="0.25">
      <c r="A137" s="10" t="s">
        <v>700</v>
      </c>
      <c r="B137" s="10" t="s">
        <v>639</v>
      </c>
      <c r="C137" s="10" t="s">
        <v>701</v>
      </c>
      <c r="D137" s="10">
        <v>0.5</v>
      </c>
      <c r="E137" s="10" t="s">
        <v>91</v>
      </c>
      <c r="F137" s="10" t="s">
        <v>648</v>
      </c>
      <c r="G137" s="11">
        <v>0.25</v>
      </c>
      <c r="H137" s="10" t="s">
        <v>622</v>
      </c>
      <c r="I137" s="10" t="s">
        <v>702</v>
      </c>
      <c r="J137" s="10" t="s">
        <v>105</v>
      </c>
      <c r="K137" s="10" t="s">
        <v>16</v>
      </c>
      <c r="L137" s="10" t="s">
        <v>668</v>
      </c>
      <c r="M137" s="10" t="s">
        <v>599</v>
      </c>
      <c r="N137" s="10" t="s">
        <v>597</v>
      </c>
      <c r="O137" s="10" t="s">
        <v>644</v>
      </c>
      <c r="P137" s="10" t="s">
        <v>604</v>
      </c>
      <c r="Q137" s="10" t="s">
        <v>607</v>
      </c>
      <c r="R137" s="10" t="s">
        <v>617</v>
      </c>
      <c r="S137" s="10" t="s">
        <v>645</v>
      </c>
      <c r="T137" s="12" t="s">
        <v>568</v>
      </c>
    </row>
    <row r="138" spans="1:21" s="16" customFormat="1" x14ac:dyDescent="0.25">
      <c r="A138" s="16" t="s">
        <v>554</v>
      </c>
      <c r="B138" s="16" t="s">
        <v>706</v>
      </c>
      <c r="C138" s="16" t="s">
        <v>555</v>
      </c>
      <c r="D138" s="16">
        <v>0.5</v>
      </c>
      <c r="E138" s="16" t="s">
        <v>91</v>
      </c>
      <c r="F138" s="16" t="s">
        <v>18</v>
      </c>
      <c r="G138" s="17">
        <v>1</v>
      </c>
      <c r="H138" s="16" t="s">
        <v>652</v>
      </c>
      <c r="I138" s="16" t="s">
        <v>90</v>
      </c>
      <c r="J138" s="16" t="s">
        <v>105</v>
      </c>
      <c r="K138" s="16" t="s">
        <v>16</v>
      </c>
      <c r="L138" s="16" t="s">
        <v>668</v>
      </c>
      <c r="M138" s="16" t="s">
        <v>599</v>
      </c>
      <c r="N138" s="16" t="s">
        <v>597</v>
      </c>
      <c r="O138" s="16" t="s">
        <v>644</v>
      </c>
      <c r="P138" s="16" t="s">
        <v>604</v>
      </c>
      <c r="Q138" s="16" t="s">
        <v>607</v>
      </c>
      <c r="R138" s="16" t="s">
        <v>615</v>
      </c>
      <c r="S138" s="16" t="s">
        <v>617</v>
      </c>
      <c r="T138" s="16" t="s">
        <v>645</v>
      </c>
      <c r="U138" s="16" t="s">
        <v>55</v>
      </c>
    </row>
    <row r="139" spans="1:21" s="16" customFormat="1" x14ac:dyDescent="0.25">
      <c r="A139" s="16" t="s">
        <v>554</v>
      </c>
      <c r="B139" s="16" t="s">
        <v>706</v>
      </c>
      <c r="C139" s="16" t="s">
        <v>555</v>
      </c>
      <c r="D139" s="16">
        <v>0.5</v>
      </c>
      <c r="E139" s="16" t="s">
        <v>91</v>
      </c>
      <c r="F139" s="16" t="s">
        <v>21</v>
      </c>
      <c r="G139" s="17">
        <v>0.75</v>
      </c>
      <c r="H139" s="16" t="s">
        <v>30</v>
      </c>
      <c r="I139" s="16" t="s">
        <v>90</v>
      </c>
      <c r="J139" s="16" t="s">
        <v>105</v>
      </c>
      <c r="K139" s="16" t="s">
        <v>28</v>
      </c>
      <c r="L139" s="16" t="s">
        <v>668</v>
      </c>
      <c r="M139" s="16" t="s">
        <v>599</v>
      </c>
      <c r="N139" s="16" t="s">
        <v>597</v>
      </c>
      <c r="O139" s="16" t="s">
        <v>644</v>
      </c>
      <c r="P139" s="16" t="s">
        <v>604</v>
      </c>
      <c r="Q139" s="16" t="s">
        <v>607</v>
      </c>
      <c r="R139" s="16" t="s">
        <v>615</v>
      </c>
      <c r="S139" s="16" t="s">
        <v>617</v>
      </c>
      <c r="T139" s="16" t="s">
        <v>645</v>
      </c>
      <c r="U139" s="16" t="s">
        <v>55</v>
      </c>
    </row>
    <row r="140" spans="1:21" s="16" customFormat="1" x14ac:dyDescent="0.25">
      <c r="A140" s="16" t="s">
        <v>554</v>
      </c>
      <c r="B140" s="16" t="s">
        <v>706</v>
      </c>
      <c r="C140" s="16" t="s">
        <v>555</v>
      </c>
      <c r="D140" s="16">
        <v>0.5</v>
      </c>
      <c r="E140" s="16" t="s">
        <v>91</v>
      </c>
      <c r="F140" s="16" t="s">
        <v>22</v>
      </c>
      <c r="G140" s="17">
        <v>0.5</v>
      </c>
      <c r="H140" s="16" t="s">
        <v>31</v>
      </c>
      <c r="I140" s="16" t="s">
        <v>90</v>
      </c>
      <c r="J140" s="16" t="s">
        <v>105</v>
      </c>
      <c r="K140" s="16" t="s">
        <v>29</v>
      </c>
      <c r="L140" s="16" t="s">
        <v>668</v>
      </c>
      <c r="M140" s="16" t="s">
        <v>599</v>
      </c>
      <c r="N140" s="16" t="s">
        <v>597</v>
      </c>
      <c r="O140" s="16" t="s">
        <v>644</v>
      </c>
      <c r="P140" s="16" t="s">
        <v>604</v>
      </c>
      <c r="Q140" s="16" t="s">
        <v>607</v>
      </c>
      <c r="R140" s="16" t="s">
        <v>615</v>
      </c>
      <c r="S140" s="16" t="s">
        <v>617</v>
      </c>
      <c r="T140" s="16" t="s">
        <v>645</v>
      </c>
      <c r="U140" s="16" t="s">
        <v>55</v>
      </c>
    </row>
    <row r="141" spans="1:21" s="16" customFormat="1" x14ac:dyDescent="0.25">
      <c r="A141" s="16" t="s">
        <v>554</v>
      </c>
      <c r="B141" s="16" t="s">
        <v>706</v>
      </c>
      <c r="C141" s="16" t="s">
        <v>555</v>
      </c>
      <c r="D141" s="16">
        <v>0.5</v>
      </c>
      <c r="E141" s="16" t="s">
        <v>91</v>
      </c>
      <c r="F141" s="16" t="s">
        <v>23</v>
      </c>
      <c r="G141" s="17">
        <v>0.5</v>
      </c>
      <c r="H141" s="16" t="s">
        <v>646</v>
      </c>
      <c r="I141" s="16" t="s">
        <v>90</v>
      </c>
      <c r="J141" s="16" t="s">
        <v>105</v>
      </c>
      <c r="K141" s="16" t="s">
        <v>16</v>
      </c>
      <c r="L141" s="16" t="s">
        <v>668</v>
      </c>
      <c r="M141" s="16" t="s">
        <v>599</v>
      </c>
      <c r="N141" s="18" t="s">
        <v>598</v>
      </c>
      <c r="O141" s="16" t="s">
        <v>644</v>
      </c>
      <c r="P141" s="16" t="s">
        <v>604</v>
      </c>
      <c r="Q141" s="16" t="s">
        <v>607</v>
      </c>
      <c r="R141" s="16" t="s">
        <v>615</v>
      </c>
      <c r="S141" s="16" t="s">
        <v>617</v>
      </c>
      <c r="T141" s="16" t="s">
        <v>645</v>
      </c>
      <c r="U141" s="16" t="s">
        <v>55</v>
      </c>
    </row>
    <row r="142" spans="1:21" s="16" customFormat="1" x14ac:dyDescent="0.25">
      <c r="A142" s="16" t="s">
        <v>554</v>
      </c>
      <c r="B142" s="16" t="s">
        <v>706</v>
      </c>
      <c r="C142" s="16" t="s">
        <v>555</v>
      </c>
      <c r="D142" s="16">
        <v>0.5</v>
      </c>
      <c r="E142" s="16" t="s">
        <v>91</v>
      </c>
      <c r="F142" s="16" t="s">
        <v>24</v>
      </c>
      <c r="G142" s="17">
        <v>0.67</v>
      </c>
      <c r="H142" s="16" t="s">
        <v>676</v>
      </c>
      <c r="I142" s="16" t="s">
        <v>90</v>
      </c>
      <c r="J142" s="16" t="s">
        <v>105</v>
      </c>
      <c r="K142" s="16" t="s">
        <v>16</v>
      </c>
      <c r="L142" s="18" t="s">
        <v>675</v>
      </c>
      <c r="M142" s="16" t="s">
        <v>599</v>
      </c>
      <c r="N142" s="16" t="s">
        <v>597</v>
      </c>
      <c r="O142" s="16" t="s">
        <v>644</v>
      </c>
      <c r="P142" s="16" t="s">
        <v>604</v>
      </c>
      <c r="Q142" s="16" t="s">
        <v>607</v>
      </c>
      <c r="R142" s="16" t="s">
        <v>615</v>
      </c>
      <c r="S142" s="16" t="s">
        <v>617</v>
      </c>
      <c r="T142" s="16" t="s">
        <v>645</v>
      </c>
      <c r="U142" s="16" t="s">
        <v>55</v>
      </c>
    </row>
    <row r="143" spans="1:21" s="16" customFormat="1" x14ac:dyDescent="0.25">
      <c r="A143" s="16" t="s">
        <v>554</v>
      </c>
      <c r="B143" s="16" t="s">
        <v>706</v>
      </c>
      <c r="C143" s="16" t="s">
        <v>555</v>
      </c>
      <c r="D143" s="16">
        <v>0.5</v>
      </c>
      <c r="E143" s="16" t="s">
        <v>91</v>
      </c>
      <c r="F143" s="16" t="s">
        <v>25</v>
      </c>
      <c r="G143" s="17">
        <v>0.33</v>
      </c>
      <c r="H143" s="16" t="s">
        <v>602</v>
      </c>
      <c r="I143" s="16" t="s">
        <v>90</v>
      </c>
      <c r="J143" s="16" t="s">
        <v>105</v>
      </c>
      <c r="K143" s="16" t="s">
        <v>16</v>
      </c>
      <c r="L143" s="16" t="s">
        <v>668</v>
      </c>
      <c r="M143" s="18" t="s">
        <v>600</v>
      </c>
      <c r="N143" s="16" t="s">
        <v>597</v>
      </c>
      <c r="O143" s="16" t="s">
        <v>644</v>
      </c>
      <c r="P143" s="16" t="s">
        <v>604</v>
      </c>
      <c r="Q143" s="16" t="s">
        <v>607</v>
      </c>
      <c r="R143" s="16" t="s">
        <v>615</v>
      </c>
      <c r="S143" s="16" t="s">
        <v>617</v>
      </c>
      <c r="T143" s="16" t="s">
        <v>645</v>
      </c>
      <c r="U143" s="16" t="s">
        <v>55</v>
      </c>
    </row>
    <row r="144" spans="1:21" s="16" customFormat="1" x14ac:dyDescent="0.25">
      <c r="A144" s="16" t="s">
        <v>554</v>
      </c>
      <c r="B144" s="16" t="s">
        <v>706</v>
      </c>
      <c r="C144" s="16" t="s">
        <v>555</v>
      </c>
      <c r="F144" s="16" t="s">
        <v>36</v>
      </c>
      <c r="G144" s="17">
        <v>0.5</v>
      </c>
      <c r="H144" s="16" t="s">
        <v>657</v>
      </c>
      <c r="I144" s="16" t="s">
        <v>90</v>
      </c>
      <c r="J144" s="16" t="s">
        <v>105</v>
      </c>
      <c r="K144" s="16" t="s">
        <v>16</v>
      </c>
      <c r="L144" s="16" t="s">
        <v>668</v>
      </c>
      <c r="M144" s="16" t="s">
        <v>599</v>
      </c>
      <c r="N144" s="16" t="s">
        <v>597</v>
      </c>
      <c r="O144" s="18" t="s">
        <v>643</v>
      </c>
      <c r="P144" s="16" t="s">
        <v>604</v>
      </c>
      <c r="Q144" s="16" t="s">
        <v>607</v>
      </c>
      <c r="R144" s="16" t="s">
        <v>615</v>
      </c>
      <c r="S144" s="16" t="s">
        <v>617</v>
      </c>
      <c r="T144" s="16" t="s">
        <v>645</v>
      </c>
      <c r="U144" s="16" t="s">
        <v>55</v>
      </c>
    </row>
    <row r="145" spans="1:21" s="16" customFormat="1" x14ac:dyDescent="0.25">
      <c r="A145" s="16" t="s">
        <v>554</v>
      </c>
      <c r="B145" s="16" t="s">
        <v>706</v>
      </c>
      <c r="C145" s="16" t="s">
        <v>555</v>
      </c>
      <c r="D145" s="16">
        <v>0.5</v>
      </c>
      <c r="E145" s="16" t="s">
        <v>91</v>
      </c>
      <c r="F145" s="16" t="s">
        <v>37</v>
      </c>
      <c r="G145" s="17">
        <v>0.33</v>
      </c>
      <c r="H145" s="16" t="s">
        <v>603</v>
      </c>
      <c r="I145" s="16" t="s">
        <v>90</v>
      </c>
      <c r="J145" s="16" t="s">
        <v>105</v>
      </c>
      <c r="K145" s="16" t="s">
        <v>16</v>
      </c>
      <c r="L145" s="16" t="s">
        <v>668</v>
      </c>
      <c r="M145" s="16" t="s">
        <v>599</v>
      </c>
      <c r="N145" s="16" t="s">
        <v>597</v>
      </c>
      <c r="O145" s="18" t="s">
        <v>656</v>
      </c>
      <c r="P145" s="16" t="s">
        <v>604</v>
      </c>
      <c r="Q145" s="16" t="s">
        <v>607</v>
      </c>
      <c r="R145" s="16" t="s">
        <v>615</v>
      </c>
      <c r="S145" s="16" t="s">
        <v>617</v>
      </c>
      <c r="T145" s="16" t="s">
        <v>645</v>
      </c>
      <c r="U145" s="16" t="s">
        <v>55</v>
      </c>
    </row>
    <row r="146" spans="1:21" s="16" customFormat="1" x14ac:dyDescent="0.25">
      <c r="A146" s="16" t="s">
        <v>554</v>
      </c>
      <c r="B146" s="16" t="s">
        <v>706</v>
      </c>
      <c r="C146" s="16" t="s">
        <v>555</v>
      </c>
      <c r="D146" s="16">
        <v>0.5</v>
      </c>
      <c r="E146" s="16" t="s">
        <v>91</v>
      </c>
      <c r="F146" s="16" t="s">
        <v>38</v>
      </c>
      <c r="G146" s="17">
        <v>0.1</v>
      </c>
      <c r="H146" s="16" t="s">
        <v>660</v>
      </c>
      <c r="I146" s="16" t="s">
        <v>90</v>
      </c>
      <c r="J146" s="16" t="s">
        <v>105</v>
      </c>
      <c r="K146" s="16" t="s">
        <v>16</v>
      </c>
      <c r="L146" s="16" t="s">
        <v>668</v>
      </c>
      <c r="M146" s="16" t="s">
        <v>599</v>
      </c>
      <c r="N146" s="16" t="s">
        <v>597</v>
      </c>
      <c r="O146" s="18" t="s">
        <v>661</v>
      </c>
      <c r="P146" s="16" t="s">
        <v>604</v>
      </c>
      <c r="Q146" s="16" t="s">
        <v>607</v>
      </c>
      <c r="R146" s="16" t="s">
        <v>615</v>
      </c>
      <c r="S146" s="16" t="s">
        <v>617</v>
      </c>
      <c r="T146" s="16" t="s">
        <v>645</v>
      </c>
      <c r="U146" s="16" t="s">
        <v>55</v>
      </c>
    </row>
    <row r="147" spans="1:21" s="16" customFormat="1" x14ac:dyDescent="0.25">
      <c r="A147" s="16" t="s">
        <v>554</v>
      </c>
      <c r="B147" s="16" t="s">
        <v>706</v>
      </c>
      <c r="C147" s="16" t="s">
        <v>555</v>
      </c>
      <c r="D147" s="16">
        <v>0.5</v>
      </c>
      <c r="E147" s="16" t="s">
        <v>91</v>
      </c>
      <c r="F147" s="16" t="s">
        <v>64</v>
      </c>
      <c r="G147" s="17">
        <v>0.5</v>
      </c>
      <c r="H147" s="16" t="s">
        <v>606</v>
      </c>
      <c r="I147" s="16" t="s">
        <v>90</v>
      </c>
      <c r="J147" s="16" t="s">
        <v>105</v>
      </c>
      <c r="K147" s="16" t="s">
        <v>16</v>
      </c>
      <c r="L147" s="16" t="s">
        <v>668</v>
      </c>
      <c r="M147" s="16" t="s">
        <v>599</v>
      </c>
      <c r="N147" s="16" t="s">
        <v>597</v>
      </c>
      <c r="O147" s="16" t="s">
        <v>644</v>
      </c>
      <c r="P147" s="18" t="s">
        <v>605</v>
      </c>
      <c r="Q147" s="16" t="s">
        <v>607</v>
      </c>
      <c r="R147" s="16" t="s">
        <v>615</v>
      </c>
      <c r="S147" s="16" t="s">
        <v>617</v>
      </c>
      <c r="T147" s="16" t="s">
        <v>645</v>
      </c>
      <c r="U147" s="16" t="s">
        <v>55</v>
      </c>
    </row>
    <row r="148" spans="1:21" s="16" customFormat="1" x14ac:dyDescent="0.25">
      <c r="A148" s="16" t="s">
        <v>554</v>
      </c>
      <c r="B148" s="16" t="s">
        <v>706</v>
      </c>
      <c r="C148" s="16" t="s">
        <v>555</v>
      </c>
      <c r="D148" s="16">
        <v>0.5</v>
      </c>
      <c r="E148" s="16" t="s">
        <v>91</v>
      </c>
      <c r="F148" s="16" t="s">
        <v>111</v>
      </c>
      <c r="G148" s="17">
        <v>0.1</v>
      </c>
      <c r="H148" s="16" t="s">
        <v>608</v>
      </c>
      <c r="I148" s="16" t="s">
        <v>90</v>
      </c>
      <c r="J148" s="16" t="s">
        <v>105</v>
      </c>
      <c r="K148" s="16" t="s">
        <v>16</v>
      </c>
      <c r="L148" s="16" t="s">
        <v>668</v>
      </c>
      <c r="M148" s="16" t="s">
        <v>599</v>
      </c>
      <c r="N148" s="16" t="s">
        <v>597</v>
      </c>
      <c r="O148" s="16" t="s">
        <v>644</v>
      </c>
      <c r="P148" s="16" t="s">
        <v>604</v>
      </c>
      <c r="Q148" s="18" t="s">
        <v>609</v>
      </c>
      <c r="R148" s="16" t="s">
        <v>615</v>
      </c>
      <c r="S148" s="16" t="s">
        <v>617</v>
      </c>
      <c r="T148" s="16" t="s">
        <v>645</v>
      </c>
      <c r="U148" s="16" t="s">
        <v>55</v>
      </c>
    </row>
    <row r="149" spans="1:21" s="16" customFormat="1" x14ac:dyDescent="0.25">
      <c r="A149" s="16" t="s">
        <v>554</v>
      </c>
      <c r="B149" s="16" t="s">
        <v>706</v>
      </c>
      <c r="C149" s="16" t="s">
        <v>555</v>
      </c>
      <c r="D149" s="16">
        <v>0.5</v>
      </c>
      <c r="E149" s="16" t="s">
        <v>91</v>
      </c>
      <c r="F149" s="16" t="s">
        <v>123</v>
      </c>
      <c r="G149" s="17">
        <v>0.75</v>
      </c>
      <c r="H149" s="16" t="s">
        <v>614</v>
      </c>
      <c r="I149" s="16" t="s">
        <v>90</v>
      </c>
      <c r="J149" s="16" t="s">
        <v>105</v>
      </c>
      <c r="K149" s="16" t="s">
        <v>16</v>
      </c>
      <c r="L149" s="16" t="s">
        <v>668</v>
      </c>
      <c r="M149" s="16" t="s">
        <v>599</v>
      </c>
      <c r="N149" s="16" t="s">
        <v>597</v>
      </c>
      <c r="O149" s="16" t="s">
        <v>644</v>
      </c>
      <c r="P149" s="16" t="s">
        <v>604</v>
      </c>
      <c r="Q149" s="16" t="s">
        <v>607</v>
      </c>
      <c r="R149" s="18" t="s">
        <v>616</v>
      </c>
      <c r="S149" s="16" t="s">
        <v>617</v>
      </c>
      <c r="T149" s="16" t="s">
        <v>645</v>
      </c>
      <c r="U149" s="16" t="s">
        <v>55</v>
      </c>
    </row>
    <row r="150" spans="1:21" s="16" customFormat="1" x14ac:dyDescent="0.25">
      <c r="A150" s="16" t="s">
        <v>554</v>
      </c>
      <c r="B150" s="16" t="s">
        <v>706</v>
      </c>
      <c r="C150" s="16" t="s">
        <v>555</v>
      </c>
      <c r="D150" s="16">
        <v>0.5</v>
      </c>
      <c r="E150" s="16" t="s">
        <v>91</v>
      </c>
      <c r="F150" s="16" t="s">
        <v>595</v>
      </c>
      <c r="G150" s="17">
        <v>0.1</v>
      </c>
      <c r="H150" s="16" t="s">
        <v>618</v>
      </c>
      <c r="I150" s="16" t="s">
        <v>90</v>
      </c>
      <c r="J150" s="16" t="s">
        <v>105</v>
      </c>
      <c r="K150" s="16" t="s">
        <v>16</v>
      </c>
      <c r="L150" s="16" t="s">
        <v>668</v>
      </c>
      <c r="M150" s="16" t="s">
        <v>599</v>
      </c>
      <c r="N150" s="16" t="s">
        <v>597</v>
      </c>
      <c r="O150" s="16" t="s">
        <v>644</v>
      </c>
      <c r="P150" s="16" t="s">
        <v>604</v>
      </c>
      <c r="Q150" s="16" t="s">
        <v>607</v>
      </c>
      <c r="R150" s="16" t="s">
        <v>615</v>
      </c>
      <c r="S150" s="18" t="s">
        <v>619</v>
      </c>
      <c r="T150" s="16" t="s">
        <v>645</v>
      </c>
      <c r="U150" s="16" t="s">
        <v>55</v>
      </c>
    </row>
    <row r="151" spans="1:21" s="16" customFormat="1" x14ac:dyDescent="0.25">
      <c r="A151" s="16" t="s">
        <v>554</v>
      </c>
      <c r="B151" s="16" t="s">
        <v>706</v>
      </c>
      <c r="C151" s="16" t="s">
        <v>555</v>
      </c>
      <c r="D151" s="16">
        <v>0.5</v>
      </c>
      <c r="E151" s="16" t="s">
        <v>91</v>
      </c>
      <c r="F151" s="16" t="s">
        <v>596</v>
      </c>
      <c r="G151" s="17">
        <v>0.5</v>
      </c>
      <c r="H151" s="16" t="s">
        <v>662</v>
      </c>
      <c r="I151" s="16" t="s">
        <v>90</v>
      </c>
      <c r="J151" s="16" t="s">
        <v>105</v>
      </c>
      <c r="K151" s="16" t="s">
        <v>16</v>
      </c>
      <c r="L151" s="16" t="s">
        <v>668</v>
      </c>
      <c r="M151" s="16" t="s">
        <v>599</v>
      </c>
      <c r="N151" s="16" t="s">
        <v>597</v>
      </c>
      <c r="O151" s="16" t="s">
        <v>644</v>
      </c>
      <c r="P151" s="16" t="s">
        <v>604</v>
      </c>
      <c r="Q151" s="16" t="s">
        <v>607</v>
      </c>
      <c r="R151" s="16" t="s">
        <v>615</v>
      </c>
      <c r="S151" s="16" t="s">
        <v>617</v>
      </c>
      <c r="T151" s="18" t="s">
        <v>620</v>
      </c>
      <c r="U151" s="16" t="s">
        <v>55</v>
      </c>
    </row>
    <row r="152" spans="1:21" s="16" customFormat="1" x14ac:dyDescent="0.25">
      <c r="A152" s="16" t="s">
        <v>554</v>
      </c>
      <c r="B152" s="16" t="s">
        <v>706</v>
      </c>
      <c r="C152" s="16" t="s">
        <v>555</v>
      </c>
      <c r="D152" s="16">
        <v>0.5</v>
      </c>
      <c r="E152" s="16" t="s">
        <v>91</v>
      </c>
      <c r="F152" s="16" t="s">
        <v>613</v>
      </c>
      <c r="G152" s="17">
        <v>0.1</v>
      </c>
      <c r="H152" s="16" t="s">
        <v>621</v>
      </c>
      <c r="I152" s="16" t="s">
        <v>90</v>
      </c>
      <c r="J152" s="16" t="s">
        <v>105</v>
      </c>
      <c r="K152" s="16" t="s">
        <v>16</v>
      </c>
      <c r="L152" s="16" t="s">
        <v>668</v>
      </c>
      <c r="M152" s="16" t="s">
        <v>599</v>
      </c>
      <c r="N152" s="16" t="s">
        <v>597</v>
      </c>
      <c r="O152" s="16" t="s">
        <v>644</v>
      </c>
      <c r="P152" s="16" t="s">
        <v>604</v>
      </c>
      <c r="Q152" s="16" t="s">
        <v>607</v>
      </c>
      <c r="R152" s="16" t="s">
        <v>615</v>
      </c>
      <c r="S152" s="16" t="s">
        <v>617</v>
      </c>
      <c r="T152" s="18" t="s">
        <v>663</v>
      </c>
      <c r="U152" s="16" t="s">
        <v>55</v>
      </c>
    </row>
    <row r="153" spans="1:21" s="16" customFormat="1" x14ac:dyDescent="0.25">
      <c r="A153" s="16" t="s">
        <v>554</v>
      </c>
      <c r="B153" s="16" t="s">
        <v>706</v>
      </c>
      <c r="C153" s="16" t="s">
        <v>555</v>
      </c>
      <c r="D153" s="16">
        <v>0.5</v>
      </c>
      <c r="E153" s="16" t="s">
        <v>91</v>
      </c>
      <c r="F153" s="16" t="s">
        <v>648</v>
      </c>
      <c r="G153" s="17">
        <v>0.25</v>
      </c>
      <c r="H153" s="16" t="s">
        <v>622</v>
      </c>
      <c r="I153" s="16" t="s">
        <v>90</v>
      </c>
      <c r="J153" s="16" t="s">
        <v>105</v>
      </c>
      <c r="K153" s="16" t="s">
        <v>16</v>
      </c>
      <c r="L153" s="16" t="s">
        <v>668</v>
      </c>
      <c r="M153" s="16" t="s">
        <v>599</v>
      </c>
      <c r="N153" s="16" t="s">
        <v>597</v>
      </c>
      <c r="O153" s="16" t="s">
        <v>644</v>
      </c>
      <c r="P153" s="16" t="s">
        <v>604</v>
      </c>
      <c r="Q153" s="16" t="s">
        <v>607</v>
      </c>
      <c r="R153" s="16" t="s">
        <v>615</v>
      </c>
      <c r="S153" s="16" t="s">
        <v>617</v>
      </c>
      <c r="T153" s="16" t="s">
        <v>645</v>
      </c>
      <c r="U153" s="18" t="s">
        <v>568</v>
      </c>
    </row>
    <row r="154" spans="1:21" s="2" customFormat="1" x14ac:dyDescent="0.25">
      <c r="A154" s="2" t="s">
        <v>554</v>
      </c>
      <c r="B154" s="19" t="s">
        <v>706</v>
      </c>
      <c r="C154" s="2" t="s">
        <v>712</v>
      </c>
      <c r="D154" s="2">
        <v>0.5</v>
      </c>
      <c r="E154" s="50" t="s">
        <v>91</v>
      </c>
      <c r="F154" s="8" t="s">
        <v>18</v>
      </c>
      <c r="G154" s="4">
        <v>1</v>
      </c>
      <c r="H154" s="4" t="s">
        <v>652</v>
      </c>
      <c r="I154" s="2" t="s">
        <v>86</v>
      </c>
      <c r="J154" s="2" t="s">
        <v>105</v>
      </c>
      <c r="K154" s="2" t="s">
        <v>16</v>
      </c>
      <c r="L154" s="2" t="s">
        <v>651</v>
      </c>
      <c r="M154" s="2" t="s">
        <v>599</v>
      </c>
      <c r="N154" s="2" t="s">
        <v>683</v>
      </c>
      <c r="O154" s="2" t="s">
        <v>644</v>
      </c>
      <c r="P154" s="2" t="s">
        <v>607</v>
      </c>
      <c r="Q154" s="2" t="s">
        <v>615</v>
      </c>
      <c r="R154" s="2" t="s">
        <v>617</v>
      </c>
      <c r="S154" s="2" t="s">
        <v>645</v>
      </c>
      <c r="T154" s="2" t="s">
        <v>55</v>
      </c>
    </row>
    <row r="155" spans="1:21" s="2" customFormat="1" x14ac:dyDescent="0.25">
      <c r="A155" s="2" t="s">
        <v>554</v>
      </c>
      <c r="B155" s="19" t="s">
        <v>706</v>
      </c>
      <c r="C155" s="2" t="s">
        <v>712</v>
      </c>
      <c r="D155" s="2">
        <v>0.5</v>
      </c>
      <c r="E155" s="50" t="s">
        <v>91</v>
      </c>
      <c r="F155" s="8" t="s">
        <v>21</v>
      </c>
      <c r="G155" s="4">
        <v>0.75</v>
      </c>
      <c r="H155" s="4" t="s">
        <v>30</v>
      </c>
      <c r="I155" s="2" t="s">
        <v>86</v>
      </c>
      <c r="J155" s="2" t="s">
        <v>105</v>
      </c>
      <c r="K155" s="2" t="s">
        <v>28</v>
      </c>
      <c r="L155" s="2" t="s">
        <v>651</v>
      </c>
      <c r="M155" s="2" t="s">
        <v>599</v>
      </c>
      <c r="N155" s="2" t="s">
        <v>683</v>
      </c>
      <c r="O155" s="2" t="s">
        <v>644</v>
      </c>
      <c r="P155" s="2" t="s">
        <v>607</v>
      </c>
      <c r="Q155" s="2" t="s">
        <v>615</v>
      </c>
      <c r="R155" s="2" t="s">
        <v>617</v>
      </c>
      <c r="S155" s="2" t="s">
        <v>645</v>
      </c>
      <c r="T155" s="2" t="s">
        <v>55</v>
      </c>
    </row>
    <row r="156" spans="1:21" s="2" customFormat="1" x14ac:dyDescent="0.25">
      <c r="A156" s="2" t="s">
        <v>554</v>
      </c>
      <c r="B156" s="19" t="s">
        <v>706</v>
      </c>
      <c r="C156" s="2" t="s">
        <v>712</v>
      </c>
      <c r="D156" s="2">
        <v>0.5</v>
      </c>
      <c r="E156" s="50" t="s">
        <v>91</v>
      </c>
      <c r="F156" s="8" t="s">
        <v>22</v>
      </c>
      <c r="G156" s="4">
        <v>0.5</v>
      </c>
      <c r="H156" s="4" t="s">
        <v>31</v>
      </c>
      <c r="I156" s="2" t="s">
        <v>86</v>
      </c>
      <c r="J156" s="2" t="s">
        <v>105</v>
      </c>
      <c r="K156" s="2" t="s">
        <v>29</v>
      </c>
      <c r="L156" s="2" t="s">
        <v>651</v>
      </c>
      <c r="M156" s="2" t="s">
        <v>599</v>
      </c>
      <c r="N156" s="2" t="s">
        <v>683</v>
      </c>
      <c r="O156" s="2" t="s">
        <v>644</v>
      </c>
      <c r="P156" s="2" t="s">
        <v>607</v>
      </c>
      <c r="Q156" s="2" t="s">
        <v>615</v>
      </c>
      <c r="R156" s="2" t="s">
        <v>617</v>
      </c>
      <c r="S156" s="2" t="s">
        <v>645</v>
      </c>
      <c r="T156" s="2" t="s">
        <v>55</v>
      </c>
    </row>
    <row r="157" spans="1:21" s="2" customFormat="1" x14ac:dyDescent="0.25">
      <c r="A157" s="2" t="s">
        <v>554</v>
      </c>
      <c r="B157" s="19" t="s">
        <v>706</v>
      </c>
      <c r="C157" s="2" t="s">
        <v>712</v>
      </c>
      <c r="D157" s="2">
        <v>0.5</v>
      </c>
      <c r="E157" s="50" t="s">
        <v>91</v>
      </c>
      <c r="F157" s="8" t="s">
        <v>23</v>
      </c>
      <c r="G157" s="4">
        <v>0.5</v>
      </c>
      <c r="H157" s="4" t="s">
        <v>682</v>
      </c>
      <c r="I157" s="2" t="s">
        <v>86</v>
      </c>
      <c r="J157" s="2" t="s">
        <v>105</v>
      </c>
      <c r="K157" s="2" t="s">
        <v>16</v>
      </c>
      <c r="L157" s="2" t="s">
        <v>651</v>
      </c>
      <c r="M157" s="2" t="s">
        <v>599</v>
      </c>
      <c r="N157" s="2" t="s">
        <v>684</v>
      </c>
      <c r="O157" s="2" t="s">
        <v>644</v>
      </c>
      <c r="P157" s="2" t="s">
        <v>607</v>
      </c>
      <c r="Q157" s="2" t="s">
        <v>615</v>
      </c>
      <c r="R157" s="2" t="s">
        <v>617</v>
      </c>
      <c r="S157" s="2" t="s">
        <v>645</v>
      </c>
      <c r="T157" s="2" t="s">
        <v>55</v>
      </c>
    </row>
    <row r="158" spans="1:21" s="2" customFormat="1" x14ac:dyDescent="0.25">
      <c r="A158" s="2" t="s">
        <v>554</v>
      </c>
      <c r="B158" s="19" t="s">
        <v>706</v>
      </c>
      <c r="C158" s="2" t="s">
        <v>712</v>
      </c>
      <c r="D158" s="2">
        <v>0.5</v>
      </c>
      <c r="E158" s="50" t="s">
        <v>91</v>
      </c>
      <c r="F158" s="8" t="s">
        <v>24</v>
      </c>
      <c r="G158" s="4">
        <v>0.67</v>
      </c>
      <c r="H158" s="4" t="s">
        <v>710</v>
      </c>
      <c r="I158" s="2" t="s">
        <v>86</v>
      </c>
      <c r="J158" s="2" t="s">
        <v>105</v>
      </c>
      <c r="K158" s="2" t="s">
        <v>16</v>
      </c>
      <c r="L158" s="2" t="s">
        <v>664</v>
      </c>
      <c r="M158" s="2" t="s">
        <v>599</v>
      </c>
      <c r="N158" s="2" t="s">
        <v>683</v>
      </c>
      <c r="O158" s="2" t="s">
        <v>644</v>
      </c>
      <c r="P158" s="2" t="s">
        <v>607</v>
      </c>
      <c r="Q158" s="2" t="s">
        <v>615</v>
      </c>
      <c r="R158" s="2" t="s">
        <v>617</v>
      </c>
      <c r="S158" s="2" t="s">
        <v>645</v>
      </c>
      <c r="T158" s="2" t="s">
        <v>55</v>
      </c>
    </row>
    <row r="159" spans="1:21" s="2" customFormat="1" x14ac:dyDescent="0.25">
      <c r="A159" s="2" t="s">
        <v>554</v>
      </c>
      <c r="B159" s="19" t="s">
        <v>706</v>
      </c>
      <c r="C159" s="2" t="s">
        <v>712</v>
      </c>
      <c r="D159" s="2">
        <v>0.5</v>
      </c>
      <c r="E159" s="50" t="s">
        <v>91</v>
      </c>
      <c r="F159" s="8" t="s">
        <v>25</v>
      </c>
      <c r="G159" s="4">
        <v>0.33</v>
      </c>
      <c r="H159" s="4" t="s">
        <v>711</v>
      </c>
      <c r="I159" s="2" t="s">
        <v>86</v>
      </c>
      <c r="J159" s="2" t="s">
        <v>105</v>
      </c>
      <c r="K159" s="2" t="s">
        <v>16</v>
      </c>
      <c r="L159" s="2" t="s">
        <v>675</v>
      </c>
      <c r="M159" s="2" t="s">
        <v>599</v>
      </c>
      <c r="N159" s="2" t="s">
        <v>683</v>
      </c>
      <c r="O159" s="2" t="s">
        <v>644</v>
      </c>
      <c r="P159" s="2" t="s">
        <v>607</v>
      </c>
      <c r="Q159" s="2" t="s">
        <v>615</v>
      </c>
      <c r="R159" s="2" t="s">
        <v>617</v>
      </c>
      <c r="S159" s="2" t="s">
        <v>645</v>
      </c>
      <c r="T159" s="2" t="s">
        <v>55</v>
      </c>
    </row>
    <row r="160" spans="1:21" s="2" customFormat="1" x14ac:dyDescent="0.25">
      <c r="A160" s="2" t="s">
        <v>554</v>
      </c>
      <c r="B160" s="19" t="s">
        <v>706</v>
      </c>
      <c r="C160" s="2" t="s">
        <v>712</v>
      </c>
      <c r="D160" s="2">
        <v>0.5</v>
      </c>
      <c r="E160" s="50" t="s">
        <v>91</v>
      </c>
      <c r="F160" s="8" t="s">
        <v>37</v>
      </c>
      <c r="G160" s="4">
        <v>0.5</v>
      </c>
      <c r="H160" s="4" t="s">
        <v>709</v>
      </c>
      <c r="I160" s="2" t="s">
        <v>86</v>
      </c>
      <c r="J160" s="2" t="s">
        <v>105</v>
      </c>
      <c r="K160" s="2" t="s">
        <v>16</v>
      </c>
      <c r="L160" s="2" t="s">
        <v>651</v>
      </c>
      <c r="M160" s="2" t="s">
        <v>600</v>
      </c>
      <c r="N160" s="2" t="s">
        <v>683</v>
      </c>
      <c r="O160" s="2" t="s">
        <v>644</v>
      </c>
      <c r="P160" s="2" t="s">
        <v>607</v>
      </c>
      <c r="Q160" s="2" t="s">
        <v>615</v>
      </c>
      <c r="R160" s="2" t="s">
        <v>617</v>
      </c>
      <c r="S160" s="2" t="s">
        <v>645</v>
      </c>
      <c r="T160" s="2" t="s">
        <v>55</v>
      </c>
    </row>
    <row r="161" spans="1:20" s="2" customFormat="1" x14ac:dyDescent="0.25">
      <c r="A161" s="2" t="s">
        <v>554</v>
      </c>
      <c r="B161" s="19" t="s">
        <v>706</v>
      </c>
      <c r="C161" s="2" t="s">
        <v>712</v>
      </c>
      <c r="E161" s="50"/>
      <c r="F161" s="8" t="s">
        <v>38</v>
      </c>
      <c r="G161" s="4">
        <v>0.67</v>
      </c>
      <c r="H161" s="4" t="s">
        <v>657</v>
      </c>
      <c r="I161" s="2" t="s">
        <v>86</v>
      </c>
      <c r="J161" s="2" t="s">
        <v>105</v>
      </c>
      <c r="K161" s="2" t="s">
        <v>16</v>
      </c>
      <c r="L161" s="2" t="s">
        <v>651</v>
      </c>
      <c r="M161" s="2" t="s">
        <v>599</v>
      </c>
      <c r="N161" s="2" t="s">
        <v>683</v>
      </c>
      <c r="O161" s="2" t="s">
        <v>643</v>
      </c>
      <c r="P161" s="2" t="s">
        <v>607</v>
      </c>
      <c r="Q161" s="2" t="s">
        <v>615</v>
      </c>
      <c r="R161" s="2" t="s">
        <v>617</v>
      </c>
      <c r="S161" s="2" t="s">
        <v>645</v>
      </c>
      <c r="T161" s="2" t="s">
        <v>55</v>
      </c>
    </row>
    <row r="162" spans="1:20" s="2" customFormat="1" x14ac:dyDescent="0.25">
      <c r="A162" s="2" t="s">
        <v>554</v>
      </c>
      <c r="B162" s="19" t="s">
        <v>706</v>
      </c>
      <c r="C162" s="2" t="s">
        <v>712</v>
      </c>
      <c r="D162" s="2">
        <v>0.5</v>
      </c>
      <c r="E162" s="50" t="s">
        <v>91</v>
      </c>
      <c r="F162" s="8" t="s">
        <v>64</v>
      </c>
      <c r="G162" s="4">
        <v>0.5</v>
      </c>
      <c r="H162" s="4" t="s">
        <v>603</v>
      </c>
      <c r="I162" s="2" t="s">
        <v>86</v>
      </c>
      <c r="J162" s="2" t="s">
        <v>105</v>
      </c>
      <c r="K162" s="2" t="s">
        <v>16</v>
      </c>
      <c r="L162" s="2" t="s">
        <v>651</v>
      </c>
      <c r="M162" s="2" t="s">
        <v>599</v>
      </c>
      <c r="N162" s="2" t="s">
        <v>683</v>
      </c>
      <c r="O162" s="2" t="s">
        <v>656</v>
      </c>
      <c r="P162" s="2" t="s">
        <v>607</v>
      </c>
      <c r="Q162" s="2" t="s">
        <v>615</v>
      </c>
      <c r="R162" s="2" t="s">
        <v>617</v>
      </c>
      <c r="S162" s="2" t="s">
        <v>645</v>
      </c>
      <c r="T162" s="2" t="s">
        <v>55</v>
      </c>
    </row>
    <row r="163" spans="1:20" s="2" customFormat="1" x14ac:dyDescent="0.25">
      <c r="A163" s="2" t="s">
        <v>554</v>
      </c>
      <c r="B163" s="19" t="s">
        <v>706</v>
      </c>
      <c r="C163" s="2" t="s">
        <v>712</v>
      </c>
      <c r="D163" s="2">
        <v>0.5</v>
      </c>
      <c r="E163" s="50" t="s">
        <v>91</v>
      </c>
      <c r="F163" s="8" t="s">
        <v>111</v>
      </c>
      <c r="G163" s="4">
        <v>0.25</v>
      </c>
      <c r="H163" s="4" t="s">
        <v>660</v>
      </c>
      <c r="I163" s="2" t="s">
        <v>86</v>
      </c>
      <c r="J163" s="2" t="s">
        <v>105</v>
      </c>
      <c r="K163" s="2" t="s">
        <v>16</v>
      </c>
      <c r="L163" s="2" t="s">
        <v>651</v>
      </c>
      <c r="M163" s="2" t="s">
        <v>599</v>
      </c>
      <c r="N163" s="2" t="s">
        <v>683</v>
      </c>
      <c r="O163" s="2" t="s">
        <v>661</v>
      </c>
      <c r="P163" s="2" t="s">
        <v>607</v>
      </c>
      <c r="Q163" s="2" t="s">
        <v>615</v>
      </c>
      <c r="R163" s="2" t="s">
        <v>617</v>
      </c>
      <c r="S163" s="2" t="s">
        <v>645</v>
      </c>
      <c r="T163" s="2" t="s">
        <v>55</v>
      </c>
    </row>
    <row r="164" spans="1:20" s="2" customFormat="1" x14ac:dyDescent="0.25">
      <c r="A164" s="2" t="s">
        <v>554</v>
      </c>
      <c r="B164" s="19" t="s">
        <v>706</v>
      </c>
      <c r="C164" s="2" t="s">
        <v>712</v>
      </c>
      <c r="D164" s="2">
        <v>0.5</v>
      </c>
      <c r="E164" s="50" t="s">
        <v>91</v>
      </c>
      <c r="F164" s="8" t="s">
        <v>123</v>
      </c>
      <c r="G164" s="4">
        <v>0.1</v>
      </c>
      <c r="H164" s="4" t="s">
        <v>608</v>
      </c>
      <c r="I164" s="2" t="s">
        <v>86</v>
      </c>
      <c r="J164" s="2" t="s">
        <v>105</v>
      </c>
      <c r="K164" s="2" t="s">
        <v>16</v>
      </c>
      <c r="L164" s="2" t="s">
        <v>651</v>
      </c>
      <c r="M164" s="2" t="s">
        <v>599</v>
      </c>
      <c r="N164" s="2" t="s">
        <v>683</v>
      </c>
      <c r="O164" s="2" t="s">
        <v>644</v>
      </c>
      <c r="P164" s="2" t="s">
        <v>609</v>
      </c>
      <c r="Q164" s="2" t="s">
        <v>615</v>
      </c>
      <c r="R164" s="2" t="s">
        <v>617</v>
      </c>
      <c r="S164" s="2" t="s">
        <v>645</v>
      </c>
      <c r="T164" s="2" t="s">
        <v>55</v>
      </c>
    </row>
    <row r="165" spans="1:20" s="2" customFormat="1" x14ac:dyDescent="0.25">
      <c r="A165" s="2" t="s">
        <v>554</v>
      </c>
      <c r="B165" s="19" t="s">
        <v>706</v>
      </c>
      <c r="C165" s="2" t="s">
        <v>712</v>
      </c>
      <c r="D165" s="2">
        <v>0.5</v>
      </c>
      <c r="E165" s="50" t="s">
        <v>91</v>
      </c>
      <c r="F165" s="8" t="s">
        <v>595</v>
      </c>
      <c r="G165" s="4">
        <v>0.75</v>
      </c>
      <c r="H165" s="4" t="s">
        <v>614</v>
      </c>
      <c r="I165" s="2" t="s">
        <v>86</v>
      </c>
      <c r="J165" s="2" t="s">
        <v>105</v>
      </c>
      <c r="K165" s="2" t="s">
        <v>16</v>
      </c>
      <c r="L165" s="2" t="s">
        <v>651</v>
      </c>
      <c r="M165" s="2" t="s">
        <v>599</v>
      </c>
      <c r="N165" s="2" t="s">
        <v>683</v>
      </c>
      <c r="O165" s="2" t="s">
        <v>644</v>
      </c>
      <c r="P165" s="2" t="s">
        <v>607</v>
      </c>
      <c r="Q165" s="2" t="s">
        <v>616</v>
      </c>
      <c r="R165" s="2" t="s">
        <v>617</v>
      </c>
      <c r="S165" s="2" t="s">
        <v>645</v>
      </c>
      <c r="T165" s="2" t="s">
        <v>55</v>
      </c>
    </row>
    <row r="166" spans="1:20" s="2" customFormat="1" x14ac:dyDescent="0.25">
      <c r="A166" s="2" t="s">
        <v>554</v>
      </c>
      <c r="B166" s="19" t="s">
        <v>706</v>
      </c>
      <c r="C166" s="2" t="s">
        <v>712</v>
      </c>
      <c r="D166" s="2">
        <v>0.5</v>
      </c>
      <c r="E166" s="50" t="s">
        <v>91</v>
      </c>
      <c r="F166" s="8" t="s">
        <v>596</v>
      </c>
      <c r="G166" s="4">
        <v>0.1</v>
      </c>
      <c r="H166" s="4" t="s">
        <v>618</v>
      </c>
      <c r="I166" s="2" t="s">
        <v>86</v>
      </c>
      <c r="J166" s="2" t="s">
        <v>105</v>
      </c>
      <c r="K166" s="2" t="s">
        <v>16</v>
      </c>
      <c r="L166" s="2" t="s">
        <v>651</v>
      </c>
      <c r="M166" s="2" t="s">
        <v>599</v>
      </c>
      <c r="N166" s="2" t="s">
        <v>683</v>
      </c>
      <c r="O166" s="2" t="s">
        <v>644</v>
      </c>
      <c r="P166" s="2" t="s">
        <v>607</v>
      </c>
      <c r="Q166" s="2" t="s">
        <v>615</v>
      </c>
      <c r="R166" s="2" t="s">
        <v>619</v>
      </c>
      <c r="S166" s="2" t="s">
        <v>645</v>
      </c>
      <c r="T166" s="2" t="s">
        <v>55</v>
      </c>
    </row>
    <row r="167" spans="1:20" s="2" customFormat="1" x14ac:dyDescent="0.25">
      <c r="A167" s="2" t="s">
        <v>554</v>
      </c>
      <c r="B167" s="19" t="s">
        <v>706</v>
      </c>
      <c r="C167" s="2" t="s">
        <v>712</v>
      </c>
      <c r="D167" s="2">
        <v>0.5</v>
      </c>
      <c r="E167" s="50" t="s">
        <v>91</v>
      </c>
      <c r="F167" s="8" t="s">
        <v>613</v>
      </c>
      <c r="G167" s="4">
        <v>0.67</v>
      </c>
      <c r="H167" s="4" t="s">
        <v>662</v>
      </c>
      <c r="I167" s="2" t="s">
        <v>86</v>
      </c>
      <c r="J167" s="2" t="s">
        <v>105</v>
      </c>
      <c r="K167" s="2" t="s">
        <v>16</v>
      </c>
      <c r="L167" s="2" t="s">
        <v>651</v>
      </c>
      <c r="M167" s="2" t="s">
        <v>599</v>
      </c>
      <c r="N167" s="2" t="s">
        <v>683</v>
      </c>
      <c r="O167" s="2" t="s">
        <v>644</v>
      </c>
      <c r="P167" s="2" t="s">
        <v>607</v>
      </c>
      <c r="Q167" s="2" t="s">
        <v>615</v>
      </c>
      <c r="R167" s="2" t="s">
        <v>617</v>
      </c>
      <c r="S167" s="2" t="s">
        <v>620</v>
      </c>
      <c r="T167" s="2" t="s">
        <v>55</v>
      </c>
    </row>
    <row r="168" spans="1:20" s="2" customFormat="1" x14ac:dyDescent="0.25">
      <c r="A168" s="2" t="s">
        <v>554</v>
      </c>
      <c r="B168" s="19" t="s">
        <v>706</v>
      </c>
      <c r="C168" s="2" t="s">
        <v>712</v>
      </c>
      <c r="D168" s="2">
        <v>0.5</v>
      </c>
      <c r="E168" s="50" t="s">
        <v>91</v>
      </c>
      <c r="F168" s="8" t="s">
        <v>648</v>
      </c>
      <c r="G168" s="4">
        <v>0.33</v>
      </c>
      <c r="H168" s="4" t="s">
        <v>621</v>
      </c>
      <c r="I168" s="2" t="s">
        <v>86</v>
      </c>
      <c r="J168" s="2" t="s">
        <v>105</v>
      </c>
      <c r="K168" s="2" t="s">
        <v>16</v>
      </c>
      <c r="L168" s="2" t="s">
        <v>651</v>
      </c>
      <c r="M168" s="2" t="s">
        <v>599</v>
      </c>
      <c r="N168" s="2" t="s">
        <v>683</v>
      </c>
      <c r="O168" s="2" t="s">
        <v>644</v>
      </c>
      <c r="P168" s="2" t="s">
        <v>607</v>
      </c>
      <c r="Q168" s="2" t="s">
        <v>615</v>
      </c>
      <c r="R168" s="2" t="s">
        <v>617</v>
      </c>
      <c r="S168" s="2" t="s">
        <v>663</v>
      </c>
      <c r="T168" s="2" t="s">
        <v>55</v>
      </c>
    </row>
    <row r="169" spans="1:20" s="2" customFormat="1" x14ac:dyDescent="0.25">
      <c r="A169" s="2" t="s">
        <v>554</v>
      </c>
      <c r="B169" s="19" t="s">
        <v>706</v>
      </c>
      <c r="C169" s="2" t="s">
        <v>712</v>
      </c>
      <c r="D169" s="2">
        <v>0.5</v>
      </c>
      <c r="E169" s="50" t="s">
        <v>91</v>
      </c>
      <c r="F169" s="8" t="s">
        <v>658</v>
      </c>
      <c r="G169" s="4">
        <v>0.25</v>
      </c>
      <c r="H169" s="4" t="s">
        <v>622</v>
      </c>
      <c r="I169" s="2" t="s">
        <v>86</v>
      </c>
      <c r="J169" s="2" t="s">
        <v>105</v>
      </c>
      <c r="K169" s="2" t="s">
        <v>16</v>
      </c>
      <c r="L169" s="2" t="s">
        <v>651</v>
      </c>
      <c r="M169" s="2" t="s">
        <v>599</v>
      </c>
      <c r="N169" s="2" t="s">
        <v>683</v>
      </c>
      <c r="O169" s="2" t="s">
        <v>644</v>
      </c>
      <c r="P169" s="2" t="s">
        <v>607</v>
      </c>
      <c r="Q169" s="2" t="s">
        <v>615</v>
      </c>
      <c r="R169" s="2" t="s">
        <v>617</v>
      </c>
      <c r="S169" s="2" t="s">
        <v>645</v>
      </c>
      <c r="T169" s="2" t="s">
        <v>568</v>
      </c>
    </row>
    <row r="170" spans="1:20" s="13" customFormat="1" x14ac:dyDescent="0.25">
      <c r="A170" s="48" t="s">
        <v>707</v>
      </c>
      <c r="B170" s="48" t="s">
        <v>634</v>
      </c>
      <c r="C170" s="48" t="s">
        <v>708</v>
      </c>
      <c r="D170" s="13">
        <v>0.5</v>
      </c>
      <c r="E170" s="13" t="s">
        <v>91</v>
      </c>
      <c r="F170" s="13" t="s">
        <v>18</v>
      </c>
      <c r="G170" s="14">
        <v>1</v>
      </c>
      <c r="H170" s="13" t="s">
        <v>652</v>
      </c>
      <c r="I170" s="13" t="s">
        <v>713</v>
      </c>
      <c r="J170" s="13" t="s">
        <v>105</v>
      </c>
      <c r="K170" s="13" t="s">
        <v>16</v>
      </c>
      <c r="L170" s="13" t="s">
        <v>743</v>
      </c>
      <c r="M170" s="13" t="s">
        <v>599</v>
      </c>
      <c r="N170" s="13" t="s">
        <v>715</v>
      </c>
      <c r="O170" s="13" t="s">
        <v>604</v>
      </c>
      <c r="P170" s="13" t="s">
        <v>607</v>
      </c>
      <c r="Q170" s="13" t="s">
        <v>617</v>
      </c>
      <c r="R170" s="13" t="s">
        <v>55</v>
      </c>
    </row>
    <row r="171" spans="1:20" s="13" customFormat="1" x14ac:dyDescent="0.25">
      <c r="A171" s="48" t="s">
        <v>707</v>
      </c>
      <c r="B171" s="48" t="s">
        <v>634</v>
      </c>
      <c r="C171" s="48" t="s">
        <v>708</v>
      </c>
      <c r="D171" s="13">
        <v>0.5</v>
      </c>
      <c r="E171" s="13" t="s">
        <v>91</v>
      </c>
      <c r="F171" s="13" t="s">
        <v>21</v>
      </c>
      <c r="G171" s="14">
        <v>0.75</v>
      </c>
      <c r="H171" s="13" t="s">
        <v>30</v>
      </c>
      <c r="I171" s="13" t="s">
        <v>713</v>
      </c>
      <c r="J171" s="13" t="s">
        <v>105</v>
      </c>
      <c r="K171" s="13" t="s">
        <v>28</v>
      </c>
      <c r="L171" s="13" t="s">
        <v>743</v>
      </c>
      <c r="M171" s="13" t="s">
        <v>599</v>
      </c>
      <c r="N171" s="13" t="s">
        <v>715</v>
      </c>
      <c r="O171" s="13" t="s">
        <v>604</v>
      </c>
      <c r="P171" s="13" t="s">
        <v>607</v>
      </c>
      <c r="Q171" s="13" t="s">
        <v>617</v>
      </c>
      <c r="R171" s="13" t="s">
        <v>55</v>
      </c>
    </row>
    <row r="172" spans="1:20" s="13" customFormat="1" x14ac:dyDescent="0.25">
      <c r="A172" s="48" t="s">
        <v>707</v>
      </c>
      <c r="B172" s="48" t="s">
        <v>634</v>
      </c>
      <c r="C172" s="48" t="s">
        <v>708</v>
      </c>
      <c r="D172" s="13">
        <v>0.5</v>
      </c>
      <c r="E172" s="13" t="s">
        <v>91</v>
      </c>
      <c r="F172" s="13" t="s">
        <v>22</v>
      </c>
      <c r="G172" s="14">
        <v>0.5</v>
      </c>
      <c r="H172" s="13" t="s">
        <v>31</v>
      </c>
      <c r="I172" s="13" t="s">
        <v>713</v>
      </c>
      <c r="J172" s="13" t="s">
        <v>105</v>
      </c>
      <c r="K172" s="13" t="s">
        <v>29</v>
      </c>
      <c r="L172" s="13" t="s">
        <v>743</v>
      </c>
      <c r="M172" s="13" t="s">
        <v>599</v>
      </c>
      <c r="N172" s="13" t="s">
        <v>715</v>
      </c>
      <c r="O172" s="13" t="s">
        <v>604</v>
      </c>
      <c r="P172" s="13" t="s">
        <v>607</v>
      </c>
      <c r="Q172" s="13" t="s">
        <v>617</v>
      </c>
      <c r="R172" s="13" t="s">
        <v>55</v>
      </c>
    </row>
    <row r="173" spans="1:20" s="13" customFormat="1" x14ac:dyDescent="0.25">
      <c r="A173" s="48" t="s">
        <v>707</v>
      </c>
      <c r="B173" s="48" t="s">
        <v>634</v>
      </c>
      <c r="C173" s="48" t="s">
        <v>708</v>
      </c>
      <c r="D173" s="13">
        <v>0.5</v>
      </c>
      <c r="E173" s="13" t="s">
        <v>91</v>
      </c>
      <c r="F173" s="13" t="s">
        <v>23</v>
      </c>
      <c r="G173" s="14">
        <v>0.5</v>
      </c>
      <c r="H173" s="13" t="s">
        <v>714</v>
      </c>
      <c r="I173" s="13" t="s">
        <v>713</v>
      </c>
      <c r="J173" s="13" t="s">
        <v>105</v>
      </c>
      <c r="K173" s="13" t="s">
        <v>16</v>
      </c>
      <c r="L173" s="13" t="s">
        <v>743</v>
      </c>
      <c r="M173" s="13" t="s">
        <v>599</v>
      </c>
      <c r="N173" s="15" t="s">
        <v>716</v>
      </c>
      <c r="O173" s="13" t="s">
        <v>604</v>
      </c>
      <c r="P173" s="13" t="s">
        <v>607</v>
      </c>
      <c r="Q173" s="13" t="s">
        <v>617</v>
      </c>
      <c r="R173" s="13" t="s">
        <v>55</v>
      </c>
    </row>
    <row r="174" spans="1:20" s="13" customFormat="1" x14ac:dyDescent="0.25">
      <c r="A174" s="48" t="s">
        <v>707</v>
      </c>
      <c r="B174" s="48" t="s">
        <v>634</v>
      </c>
      <c r="C174" s="48" t="s">
        <v>708</v>
      </c>
      <c r="D174" s="13">
        <v>0.5</v>
      </c>
      <c r="E174" s="13" t="s">
        <v>91</v>
      </c>
      <c r="F174" s="13" t="s">
        <v>24</v>
      </c>
      <c r="G174" s="14">
        <v>0.67</v>
      </c>
      <c r="H174" s="13" t="s">
        <v>744</v>
      </c>
      <c r="I174" s="13" t="s">
        <v>713</v>
      </c>
      <c r="J174" s="13" t="s">
        <v>105</v>
      </c>
      <c r="K174" s="13" t="s">
        <v>16</v>
      </c>
      <c r="L174" s="15" t="s">
        <v>675</v>
      </c>
      <c r="M174" s="13" t="s">
        <v>599</v>
      </c>
      <c r="N174" s="13" t="s">
        <v>715</v>
      </c>
      <c r="O174" s="13" t="s">
        <v>604</v>
      </c>
      <c r="P174" s="13" t="s">
        <v>607</v>
      </c>
      <c r="Q174" s="13" t="s">
        <v>617</v>
      </c>
      <c r="R174" s="13" t="s">
        <v>55</v>
      </c>
    </row>
    <row r="175" spans="1:20" s="13" customFormat="1" x14ac:dyDescent="0.25">
      <c r="A175" s="48" t="s">
        <v>707</v>
      </c>
      <c r="B175" s="48" t="s">
        <v>634</v>
      </c>
      <c r="C175" s="48" t="s">
        <v>708</v>
      </c>
      <c r="D175" s="13">
        <v>0.5</v>
      </c>
      <c r="E175" s="13" t="s">
        <v>91</v>
      </c>
      <c r="F175" s="13" t="s">
        <v>25</v>
      </c>
      <c r="G175" s="14">
        <v>0.33</v>
      </c>
      <c r="H175" s="13" t="s">
        <v>602</v>
      </c>
      <c r="I175" s="13" t="s">
        <v>713</v>
      </c>
      <c r="J175" s="13" t="s">
        <v>105</v>
      </c>
      <c r="K175" s="13" t="s">
        <v>16</v>
      </c>
      <c r="L175" s="13" t="s">
        <v>743</v>
      </c>
      <c r="M175" s="15" t="s">
        <v>600</v>
      </c>
      <c r="N175" s="13" t="s">
        <v>715</v>
      </c>
      <c r="O175" s="13" t="s">
        <v>604</v>
      </c>
      <c r="P175" s="13" t="s">
        <v>607</v>
      </c>
      <c r="Q175" s="13" t="s">
        <v>617</v>
      </c>
      <c r="R175" s="13" t="s">
        <v>55</v>
      </c>
    </row>
    <row r="176" spans="1:20" s="13" customFormat="1" x14ac:dyDescent="0.25">
      <c r="A176" s="48" t="s">
        <v>707</v>
      </c>
      <c r="B176" s="48" t="s">
        <v>634</v>
      </c>
      <c r="C176" s="48" t="s">
        <v>708</v>
      </c>
      <c r="D176" s="13">
        <v>0.5</v>
      </c>
      <c r="E176" s="13" t="s">
        <v>91</v>
      </c>
      <c r="F176" s="13" t="s">
        <v>36</v>
      </c>
      <c r="G176" s="14">
        <v>0.5</v>
      </c>
      <c r="H176" s="13" t="s">
        <v>606</v>
      </c>
      <c r="I176" s="13" t="s">
        <v>713</v>
      </c>
      <c r="J176" s="13" t="s">
        <v>105</v>
      </c>
      <c r="K176" s="13" t="s">
        <v>16</v>
      </c>
      <c r="L176" s="13" t="s">
        <v>743</v>
      </c>
      <c r="M176" s="13" t="s">
        <v>599</v>
      </c>
      <c r="N176" s="13" t="s">
        <v>715</v>
      </c>
      <c r="O176" s="15" t="s">
        <v>605</v>
      </c>
      <c r="P176" s="13" t="s">
        <v>607</v>
      </c>
      <c r="Q176" s="13" t="s">
        <v>617</v>
      </c>
      <c r="R176" s="13" t="s">
        <v>55</v>
      </c>
    </row>
    <row r="177" spans="1:18" s="13" customFormat="1" x14ac:dyDescent="0.25">
      <c r="A177" s="48" t="s">
        <v>707</v>
      </c>
      <c r="B177" s="48" t="s">
        <v>634</v>
      </c>
      <c r="C177" s="48" t="s">
        <v>708</v>
      </c>
      <c r="D177" s="13">
        <v>0.5</v>
      </c>
      <c r="E177" s="13" t="s">
        <v>91</v>
      </c>
      <c r="F177" s="13" t="s">
        <v>37</v>
      </c>
      <c r="G177" s="14">
        <v>0.1</v>
      </c>
      <c r="H177" s="49" t="s">
        <v>608</v>
      </c>
      <c r="I177" s="13" t="s">
        <v>713</v>
      </c>
      <c r="J177" s="13" t="s">
        <v>105</v>
      </c>
      <c r="K177" s="13" t="s">
        <v>16</v>
      </c>
      <c r="L177" s="13" t="s">
        <v>743</v>
      </c>
      <c r="M177" s="13" t="s">
        <v>599</v>
      </c>
      <c r="N177" s="13" t="s">
        <v>715</v>
      </c>
      <c r="O177" s="13" t="s">
        <v>604</v>
      </c>
      <c r="P177" s="52" t="s">
        <v>609</v>
      </c>
      <c r="Q177" s="13" t="s">
        <v>617</v>
      </c>
      <c r="R177" s="13" t="s">
        <v>55</v>
      </c>
    </row>
    <row r="178" spans="1:18" s="13" customFormat="1" x14ac:dyDescent="0.25">
      <c r="A178" s="48" t="s">
        <v>707</v>
      </c>
      <c r="B178" s="48" t="s">
        <v>634</v>
      </c>
      <c r="C178" s="48" t="s">
        <v>708</v>
      </c>
      <c r="D178" s="13">
        <v>0.5</v>
      </c>
      <c r="E178" s="13" t="s">
        <v>91</v>
      </c>
      <c r="F178" s="13" t="s">
        <v>38</v>
      </c>
      <c r="G178" s="14">
        <v>0.1</v>
      </c>
      <c r="H178" s="13" t="s">
        <v>618</v>
      </c>
      <c r="I178" s="13" t="s">
        <v>713</v>
      </c>
      <c r="J178" s="13" t="s">
        <v>105</v>
      </c>
      <c r="K178" s="13" t="s">
        <v>16</v>
      </c>
      <c r="L178" s="13" t="s">
        <v>743</v>
      </c>
      <c r="M178" s="13" t="s">
        <v>599</v>
      </c>
      <c r="N178" s="13" t="s">
        <v>715</v>
      </c>
      <c r="O178" s="13" t="s">
        <v>604</v>
      </c>
      <c r="P178" s="13" t="s">
        <v>607</v>
      </c>
      <c r="Q178" s="15" t="s">
        <v>619</v>
      </c>
      <c r="R178" s="13" t="s">
        <v>55</v>
      </c>
    </row>
    <row r="179" spans="1:18" s="13" customFormat="1" x14ac:dyDescent="0.25">
      <c r="A179" s="48" t="s">
        <v>707</v>
      </c>
      <c r="B179" s="48" t="s">
        <v>634</v>
      </c>
      <c r="C179" s="48" t="s">
        <v>708</v>
      </c>
      <c r="D179" s="13">
        <v>0.5</v>
      </c>
      <c r="E179" s="13" t="s">
        <v>91</v>
      </c>
      <c r="F179" s="13" t="s">
        <v>64</v>
      </c>
      <c r="G179" s="14">
        <v>0.25</v>
      </c>
      <c r="H179" s="13" t="s">
        <v>622</v>
      </c>
      <c r="I179" s="13" t="s">
        <v>713</v>
      </c>
      <c r="J179" s="13" t="s">
        <v>105</v>
      </c>
      <c r="K179" s="13" t="s">
        <v>16</v>
      </c>
      <c r="L179" s="13" t="s">
        <v>743</v>
      </c>
      <c r="M179" s="13" t="s">
        <v>599</v>
      </c>
      <c r="N179" s="13" t="s">
        <v>715</v>
      </c>
      <c r="O179" s="13" t="s">
        <v>604</v>
      </c>
      <c r="P179" s="13" t="s">
        <v>607</v>
      </c>
      <c r="Q179" s="13" t="s">
        <v>617</v>
      </c>
      <c r="R179" s="15" t="s">
        <v>568</v>
      </c>
    </row>
    <row r="180" spans="1:18" s="16" customFormat="1" x14ac:dyDescent="0.25">
      <c r="A180" s="51" t="s">
        <v>717</v>
      </c>
      <c r="B180" s="51" t="s">
        <v>81</v>
      </c>
      <c r="C180" s="51" t="s">
        <v>718</v>
      </c>
      <c r="D180" s="16">
        <v>0.5</v>
      </c>
      <c r="E180" s="16" t="s">
        <v>91</v>
      </c>
      <c r="F180" s="16" t="s">
        <v>18</v>
      </c>
      <c r="G180" s="17">
        <v>1</v>
      </c>
      <c r="H180" s="16" t="s">
        <v>652</v>
      </c>
      <c r="I180" s="16" t="s">
        <v>719</v>
      </c>
      <c r="J180" s="16" t="s">
        <v>105</v>
      </c>
      <c r="K180" s="16" t="s">
        <v>16</v>
      </c>
      <c r="L180" s="16" t="s">
        <v>743</v>
      </c>
      <c r="M180" s="16" t="s">
        <v>599</v>
      </c>
      <c r="N180" s="16" t="s">
        <v>720</v>
      </c>
      <c r="O180" s="16" t="s">
        <v>604</v>
      </c>
      <c r="P180" s="16" t="s">
        <v>688</v>
      </c>
      <c r="Q180" s="16" t="s">
        <v>617</v>
      </c>
      <c r="R180" s="16" t="s">
        <v>55</v>
      </c>
    </row>
    <row r="181" spans="1:18" s="16" customFormat="1" x14ac:dyDescent="0.25">
      <c r="A181" s="51" t="s">
        <v>717</v>
      </c>
      <c r="B181" s="51" t="s">
        <v>81</v>
      </c>
      <c r="C181" s="51" t="s">
        <v>718</v>
      </c>
      <c r="D181" s="16">
        <v>0.5</v>
      </c>
      <c r="E181" s="16" t="s">
        <v>91</v>
      </c>
      <c r="F181" s="16" t="s">
        <v>21</v>
      </c>
      <c r="G181" s="17">
        <v>0.75</v>
      </c>
      <c r="H181" s="16" t="s">
        <v>30</v>
      </c>
      <c r="I181" s="16" t="s">
        <v>719</v>
      </c>
      <c r="J181" s="16" t="s">
        <v>105</v>
      </c>
      <c r="K181" s="16" t="s">
        <v>28</v>
      </c>
      <c r="L181" s="16" t="s">
        <v>743</v>
      </c>
      <c r="M181" s="16" t="s">
        <v>599</v>
      </c>
      <c r="N181" s="16" t="s">
        <v>720</v>
      </c>
      <c r="O181" s="16" t="s">
        <v>604</v>
      </c>
      <c r="P181" s="16" t="s">
        <v>688</v>
      </c>
      <c r="Q181" s="16" t="s">
        <v>617</v>
      </c>
      <c r="R181" s="16" t="s">
        <v>55</v>
      </c>
    </row>
    <row r="182" spans="1:18" s="16" customFormat="1" x14ac:dyDescent="0.25">
      <c r="A182" s="51" t="s">
        <v>717</v>
      </c>
      <c r="B182" s="51" t="s">
        <v>81</v>
      </c>
      <c r="C182" s="51" t="s">
        <v>718</v>
      </c>
      <c r="D182" s="16">
        <v>0.5</v>
      </c>
      <c r="E182" s="16" t="s">
        <v>91</v>
      </c>
      <c r="F182" s="16" t="s">
        <v>22</v>
      </c>
      <c r="G182" s="17">
        <v>0.5</v>
      </c>
      <c r="H182" s="16" t="s">
        <v>31</v>
      </c>
      <c r="I182" s="16" t="s">
        <v>719</v>
      </c>
      <c r="J182" s="16" t="s">
        <v>105</v>
      </c>
      <c r="K182" s="16" t="s">
        <v>29</v>
      </c>
      <c r="L182" s="16" t="s">
        <v>743</v>
      </c>
      <c r="M182" s="16" t="s">
        <v>599</v>
      </c>
      <c r="N182" s="16" t="s">
        <v>720</v>
      </c>
      <c r="O182" s="16" t="s">
        <v>604</v>
      </c>
      <c r="P182" s="16" t="s">
        <v>688</v>
      </c>
      <c r="Q182" s="16" t="s">
        <v>617</v>
      </c>
      <c r="R182" s="16" t="s">
        <v>55</v>
      </c>
    </row>
    <row r="183" spans="1:18" s="16" customFormat="1" x14ac:dyDescent="0.25">
      <c r="A183" s="51" t="s">
        <v>717</v>
      </c>
      <c r="B183" s="51" t="s">
        <v>81</v>
      </c>
      <c r="C183" s="51" t="s">
        <v>718</v>
      </c>
      <c r="D183" s="16">
        <v>0.5</v>
      </c>
      <c r="E183" s="16" t="s">
        <v>91</v>
      </c>
      <c r="F183" s="16" t="s">
        <v>23</v>
      </c>
      <c r="G183" s="17">
        <v>0.5</v>
      </c>
      <c r="H183" s="16" t="s">
        <v>721</v>
      </c>
      <c r="I183" s="16" t="s">
        <v>719</v>
      </c>
      <c r="J183" s="16" t="s">
        <v>105</v>
      </c>
      <c r="K183" s="16" t="s">
        <v>16</v>
      </c>
      <c r="L183" s="16" t="s">
        <v>743</v>
      </c>
      <c r="M183" s="16" t="s">
        <v>599</v>
      </c>
      <c r="N183" s="16" t="s">
        <v>720</v>
      </c>
      <c r="O183" s="16" t="s">
        <v>604</v>
      </c>
      <c r="P183" s="16" t="s">
        <v>688</v>
      </c>
      <c r="Q183" s="16" t="s">
        <v>617</v>
      </c>
      <c r="R183" s="16" t="s">
        <v>55</v>
      </c>
    </row>
    <row r="184" spans="1:18" s="16" customFormat="1" x14ac:dyDescent="0.25">
      <c r="A184" s="51" t="s">
        <v>717</v>
      </c>
      <c r="B184" s="51" t="s">
        <v>81</v>
      </c>
      <c r="C184" s="51" t="s">
        <v>718</v>
      </c>
      <c r="D184" s="16">
        <v>0.5</v>
      </c>
      <c r="E184" s="16" t="s">
        <v>91</v>
      </c>
      <c r="F184" s="16" t="s">
        <v>24</v>
      </c>
      <c r="G184" s="17">
        <v>0.67</v>
      </c>
      <c r="H184" s="16" t="s">
        <v>746</v>
      </c>
      <c r="I184" s="16" t="s">
        <v>719</v>
      </c>
      <c r="J184" s="16" t="s">
        <v>105</v>
      </c>
      <c r="K184" s="16" t="s">
        <v>16</v>
      </c>
      <c r="L184" s="18" t="s">
        <v>675</v>
      </c>
      <c r="M184" s="16" t="s">
        <v>599</v>
      </c>
      <c r="N184" s="16" t="s">
        <v>720</v>
      </c>
      <c r="O184" s="16" t="s">
        <v>604</v>
      </c>
      <c r="P184" s="16" t="s">
        <v>688</v>
      </c>
      <c r="Q184" s="16" t="s">
        <v>617</v>
      </c>
      <c r="R184" s="16" t="s">
        <v>55</v>
      </c>
    </row>
    <row r="185" spans="1:18" s="16" customFormat="1" x14ac:dyDescent="0.25">
      <c r="A185" s="51" t="s">
        <v>717</v>
      </c>
      <c r="B185" s="51" t="s">
        <v>81</v>
      </c>
      <c r="C185" s="51" t="s">
        <v>718</v>
      </c>
      <c r="D185" s="16">
        <v>0.5</v>
      </c>
      <c r="E185" s="16" t="s">
        <v>91</v>
      </c>
      <c r="F185" s="16" t="s">
        <v>25</v>
      </c>
      <c r="G185" s="17">
        <v>0.33</v>
      </c>
      <c r="H185" s="16" t="s">
        <v>602</v>
      </c>
      <c r="I185" s="16" t="s">
        <v>719</v>
      </c>
      <c r="J185" s="16" t="s">
        <v>105</v>
      </c>
      <c r="K185" s="16" t="s">
        <v>16</v>
      </c>
      <c r="L185" s="16" t="s">
        <v>743</v>
      </c>
      <c r="M185" s="18" t="s">
        <v>600</v>
      </c>
      <c r="N185" s="16" t="s">
        <v>720</v>
      </c>
      <c r="O185" s="16" t="s">
        <v>604</v>
      </c>
      <c r="P185" s="16" t="s">
        <v>688</v>
      </c>
      <c r="Q185" s="16" t="s">
        <v>617</v>
      </c>
      <c r="R185" s="16" t="s">
        <v>55</v>
      </c>
    </row>
    <row r="186" spans="1:18" s="16" customFormat="1" x14ac:dyDescent="0.25">
      <c r="A186" s="51" t="s">
        <v>717</v>
      </c>
      <c r="B186" s="51" t="s">
        <v>81</v>
      </c>
      <c r="C186" s="51" t="s">
        <v>718</v>
      </c>
      <c r="D186" s="16">
        <v>0.5</v>
      </c>
      <c r="E186" s="16" t="s">
        <v>91</v>
      </c>
      <c r="F186" s="16" t="s">
        <v>36</v>
      </c>
      <c r="G186" s="17">
        <v>0.5</v>
      </c>
      <c r="H186" s="16" t="s">
        <v>606</v>
      </c>
      <c r="I186" s="16" t="s">
        <v>719</v>
      </c>
      <c r="J186" s="16" t="s">
        <v>105</v>
      </c>
      <c r="K186" s="16" t="s">
        <v>16</v>
      </c>
      <c r="L186" s="16" t="s">
        <v>743</v>
      </c>
      <c r="M186" s="16" t="s">
        <v>599</v>
      </c>
      <c r="N186" s="16" t="s">
        <v>720</v>
      </c>
      <c r="O186" s="18" t="s">
        <v>605</v>
      </c>
      <c r="P186" s="16" t="s">
        <v>688</v>
      </c>
      <c r="Q186" s="16" t="s">
        <v>617</v>
      </c>
      <c r="R186" s="16" t="s">
        <v>55</v>
      </c>
    </row>
    <row r="187" spans="1:18" s="16" customFormat="1" x14ac:dyDescent="0.25">
      <c r="A187" s="51" t="s">
        <v>717</v>
      </c>
      <c r="B187" s="51" t="s">
        <v>81</v>
      </c>
      <c r="C187" s="51" t="s">
        <v>718</v>
      </c>
      <c r="D187" s="16">
        <v>0.5</v>
      </c>
      <c r="E187" s="16" t="s">
        <v>91</v>
      </c>
      <c r="F187" s="16" t="s">
        <v>37</v>
      </c>
      <c r="G187" s="17">
        <v>0.5</v>
      </c>
      <c r="H187" s="53" t="s">
        <v>723</v>
      </c>
      <c r="I187" s="16" t="s">
        <v>719</v>
      </c>
      <c r="J187" s="16" t="s">
        <v>105</v>
      </c>
      <c r="K187" s="16" t="s">
        <v>16</v>
      </c>
      <c r="L187" s="16" t="s">
        <v>743</v>
      </c>
      <c r="M187" s="16" t="s">
        <v>599</v>
      </c>
      <c r="N187" s="16" t="s">
        <v>720</v>
      </c>
      <c r="O187" s="16" t="s">
        <v>604</v>
      </c>
      <c r="P187" s="54" t="s">
        <v>722</v>
      </c>
      <c r="Q187" s="16" t="s">
        <v>617</v>
      </c>
      <c r="R187" s="16" t="s">
        <v>55</v>
      </c>
    </row>
    <row r="188" spans="1:18" s="16" customFormat="1" x14ac:dyDescent="0.25">
      <c r="A188" s="51" t="s">
        <v>717</v>
      </c>
      <c r="B188" s="51" t="s">
        <v>81</v>
      </c>
      <c r="C188" s="51" t="s">
        <v>718</v>
      </c>
      <c r="D188" s="16">
        <v>0.5</v>
      </c>
      <c r="E188" s="16" t="s">
        <v>91</v>
      </c>
      <c r="F188" s="16" t="s">
        <v>38</v>
      </c>
      <c r="G188" s="17">
        <v>0.1</v>
      </c>
      <c r="H188" s="16" t="s">
        <v>618</v>
      </c>
      <c r="I188" s="16" t="s">
        <v>719</v>
      </c>
      <c r="J188" s="16" t="s">
        <v>105</v>
      </c>
      <c r="K188" s="16" t="s">
        <v>16</v>
      </c>
      <c r="L188" s="16" t="s">
        <v>743</v>
      </c>
      <c r="M188" s="16" t="s">
        <v>599</v>
      </c>
      <c r="N188" s="16" t="s">
        <v>720</v>
      </c>
      <c r="O188" s="16" t="s">
        <v>604</v>
      </c>
      <c r="P188" s="16" t="s">
        <v>688</v>
      </c>
      <c r="Q188" s="18" t="s">
        <v>619</v>
      </c>
      <c r="R188" s="16" t="s">
        <v>55</v>
      </c>
    </row>
    <row r="189" spans="1:18" s="16" customFormat="1" x14ac:dyDescent="0.25">
      <c r="A189" s="51" t="s">
        <v>717</v>
      </c>
      <c r="B189" s="51" t="s">
        <v>81</v>
      </c>
      <c r="C189" s="51" t="s">
        <v>718</v>
      </c>
      <c r="D189" s="16">
        <v>0.5</v>
      </c>
      <c r="E189" s="16" t="s">
        <v>91</v>
      </c>
      <c r="F189" s="16" t="s">
        <v>64</v>
      </c>
      <c r="G189" s="17">
        <v>0.25</v>
      </c>
      <c r="H189" s="16" t="s">
        <v>622</v>
      </c>
      <c r="I189" s="16" t="s">
        <v>719</v>
      </c>
      <c r="J189" s="16" t="s">
        <v>105</v>
      </c>
      <c r="K189" s="16" t="s">
        <v>16</v>
      </c>
      <c r="L189" s="16" t="s">
        <v>743</v>
      </c>
      <c r="M189" s="16" t="s">
        <v>599</v>
      </c>
      <c r="N189" s="16" t="s">
        <v>720</v>
      </c>
      <c r="O189" s="16" t="s">
        <v>604</v>
      </c>
      <c r="P189" s="16" t="s">
        <v>688</v>
      </c>
      <c r="Q189" s="16" t="s">
        <v>617</v>
      </c>
      <c r="R189" s="18" t="s">
        <v>568</v>
      </c>
    </row>
    <row r="190" spans="1:18" s="13" customFormat="1" x14ac:dyDescent="0.25">
      <c r="A190" s="48" t="s">
        <v>738</v>
      </c>
      <c r="B190" s="48" t="s">
        <v>101</v>
      </c>
      <c r="C190" s="48" t="s">
        <v>737</v>
      </c>
      <c r="D190" s="13">
        <v>0.5</v>
      </c>
      <c r="E190" s="13" t="s">
        <v>91</v>
      </c>
      <c r="F190" s="13" t="s">
        <v>18</v>
      </c>
      <c r="G190" s="14">
        <v>1</v>
      </c>
      <c r="H190" s="13" t="s">
        <v>652</v>
      </c>
      <c r="I190" s="13" t="s">
        <v>724</v>
      </c>
      <c r="J190" s="13" t="s">
        <v>105</v>
      </c>
      <c r="K190" s="13" t="s">
        <v>16</v>
      </c>
      <c r="L190" s="13" t="s">
        <v>743</v>
      </c>
      <c r="M190" s="13" t="s">
        <v>599</v>
      </c>
      <c r="N190" s="13" t="s">
        <v>720</v>
      </c>
      <c r="O190" s="13" t="s">
        <v>604</v>
      </c>
      <c r="P190" s="13" t="s">
        <v>688</v>
      </c>
      <c r="Q190" s="13" t="s">
        <v>617</v>
      </c>
      <c r="R190" s="13" t="s">
        <v>55</v>
      </c>
    </row>
    <row r="191" spans="1:18" s="13" customFormat="1" x14ac:dyDescent="0.25">
      <c r="A191" s="48" t="s">
        <v>738</v>
      </c>
      <c r="B191" s="48" t="s">
        <v>101</v>
      </c>
      <c r="C191" s="48" t="s">
        <v>737</v>
      </c>
      <c r="D191" s="13">
        <v>0.5</v>
      </c>
      <c r="E191" s="13" t="s">
        <v>91</v>
      </c>
      <c r="F191" s="13" t="s">
        <v>21</v>
      </c>
      <c r="G191" s="14">
        <v>0.75</v>
      </c>
      <c r="H191" s="13" t="s">
        <v>30</v>
      </c>
      <c r="I191" s="13" t="s">
        <v>724</v>
      </c>
      <c r="J191" s="13" t="s">
        <v>105</v>
      </c>
      <c r="K191" s="13" t="s">
        <v>28</v>
      </c>
      <c r="L191" s="13" t="s">
        <v>743</v>
      </c>
      <c r="M191" s="13" t="s">
        <v>599</v>
      </c>
      <c r="N191" s="13" t="s">
        <v>720</v>
      </c>
      <c r="O191" s="13" t="s">
        <v>604</v>
      </c>
      <c r="P191" s="13" t="s">
        <v>688</v>
      </c>
      <c r="Q191" s="13" t="s">
        <v>617</v>
      </c>
      <c r="R191" s="13" t="s">
        <v>55</v>
      </c>
    </row>
    <row r="192" spans="1:18" s="13" customFormat="1" x14ac:dyDescent="0.25">
      <c r="A192" s="48" t="s">
        <v>738</v>
      </c>
      <c r="B192" s="48" t="s">
        <v>101</v>
      </c>
      <c r="C192" s="48" t="s">
        <v>737</v>
      </c>
      <c r="D192" s="13">
        <v>0.5</v>
      </c>
      <c r="E192" s="13" t="s">
        <v>91</v>
      </c>
      <c r="F192" s="13" t="s">
        <v>22</v>
      </c>
      <c r="G192" s="14">
        <v>0.5</v>
      </c>
      <c r="H192" s="13" t="s">
        <v>31</v>
      </c>
      <c r="I192" s="13" t="s">
        <v>724</v>
      </c>
      <c r="J192" s="13" t="s">
        <v>105</v>
      </c>
      <c r="K192" s="13" t="s">
        <v>29</v>
      </c>
      <c r="L192" s="13" t="s">
        <v>743</v>
      </c>
      <c r="M192" s="13" t="s">
        <v>599</v>
      </c>
      <c r="N192" s="13" t="s">
        <v>720</v>
      </c>
      <c r="O192" s="13" t="s">
        <v>604</v>
      </c>
      <c r="P192" s="13" t="s">
        <v>688</v>
      </c>
      <c r="Q192" s="13" t="s">
        <v>617</v>
      </c>
      <c r="R192" s="13" t="s">
        <v>55</v>
      </c>
    </row>
    <row r="193" spans="1:21" s="13" customFormat="1" x14ac:dyDescent="0.25">
      <c r="A193" s="48" t="s">
        <v>738</v>
      </c>
      <c r="B193" s="48" t="s">
        <v>101</v>
      </c>
      <c r="C193" s="48" t="s">
        <v>737</v>
      </c>
      <c r="D193" s="13">
        <v>0.5</v>
      </c>
      <c r="E193" s="13" t="s">
        <v>91</v>
      </c>
      <c r="F193" s="13" t="s">
        <v>23</v>
      </c>
      <c r="G193" s="14">
        <v>0.5</v>
      </c>
      <c r="H193" s="13" t="s">
        <v>721</v>
      </c>
      <c r="I193" s="13" t="s">
        <v>724</v>
      </c>
      <c r="J193" s="13" t="s">
        <v>105</v>
      </c>
      <c r="K193" s="13" t="s">
        <v>16</v>
      </c>
      <c r="L193" s="13" t="s">
        <v>743</v>
      </c>
      <c r="M193" s="13" t="s">
        <v>599</v>
      </c>
      <c r="N193" s="13" t="s">
        <v>720</v>
      </c>
      <c r="O193" s="13" t="s">
        <v>604</v>
      </c>
      <c r="P193" s="13" t="s">
        <v>688</v>
      </c>
      <c r="Q193" s="13" t="s">
        <v>617</v>
      </c>
      <c r="R193" s="13" t="s">
        <v>55</v>
      </c>
    </row>
    <row r="194" spans="1:21" s="13" customFormat="1" x14ac:dyDescent="0.25">
      <c r="A194" s="48" t="s">
        <v>738</v>
      </c>
      <c r="B194" s="48" t="s">
        <v>101</v>
      </c>
      <c r="C194" s="48" t="s">
        <v>737</v>
      </c>
      <c r="D194" s="13">
        <v>0.5</v>
      </c>
      <c r="E194" s="13" t="s">
        <v>91</v>
      </c>
      <c r="F194" s="13" t="s">
        <v>24</v>
      </c>
      <c r="G194" s="14">
        <v>0.67</v>
      </c>
      <c r="H194" s="13" t="s">
        <v>745</v>
      </c>
      <c r="I194" s="13" t="s">
        <v>724</v>
      </c>
      <c r="J194" s="13" t="s">
        <v>105</v>
      </c>
      <c r="K194" s="13" t="s">
        <v>16</v>
      </c>
      <c r="L194" s="15" t="s">
        <v>675</v>
      </c>
      <c r="M194" s="13" t="s">
        <v>599</v>
      </c>
      <c r="N194" s="13" t="s">
        <v>720</v>
      </c>
      <c r="O194" s="13" t="s">
        <v>604</v>
      </c>
      <c r="P194" s="13" t="s">
        <v>688</v>
      </c>
      <c r="Q194" s="13" t="s">
        <v>617</v>
      </c>
      <c r="R194" s="13" t="s">
        <v>55</v>
      </c>
    </row>
    <row r="195" spans="1:21" s="13" customFormat="1" x14ac:dyDescent="0.25">
      <c r="A195" s="48" t="s">
        <v>738</v>
      </c>
      <c r="B195" s="48" t="s">
        <v>101</v>
      </c>
      <c r="C195" s="48" t="s">
        <v>737</v>
      </c>
      <c r="D195" s="13">
        <v>0.5</v>
      </c>
      <c r="E195" s="13" t="s">
        <v>91</v>
      </c>
      <c r="F195" s="13" t="s">
        <v>25</v>
      </c>
      <c r="G195" s="14">
        <v>0.33</v>
      </c>
      <c r="H195" s="13" t="s">
        <v>602</v>
      </c>
      <c r="I195" s="13" t="s">
        <v>724</v>
      </c>
      <c r="J195" s="13" t="s">
        <v>105</v>
      </c>
      <c r="K195" s="13" t="s">
        <v>16</v>
      </c>
      <c r="L195" s="13" t="s">
        <v>743</v>
      </c>
      <c r="M195" s="15" t="s">
        <v>600</v>
      </c>
      <c r="N195" s="13" t="s">
        <v>720</v>
      </c>
      <c r="O195" s="13" t="s">
        <v>604</v>
      </c>
      <c r="P195" s="13" t="s">
        <v>688</v>
      </c>
      <c r="Q195" s="13" t="s">
        <v>617</v>
      </c>
      <c r="R195" s="13" t="s">
        <v>55</v>
      </c>
    </row>
    <row r="196" spans="1:21" s="13" customFormat="1" x14ac:dyDescent="0.25">
      <c r="A196" s="48" t="s">
        <v>738</v>
      </c>
      <c r="B196" s="48" t="s">
        <v>101</v>
      </c>
      <c r="C196" s="48" t="s">
        <v>737</v>
      </c>
      <c r="D196" s="13">
        <v>0.5</v>
      </c>
      <c r="E196" s="13" t="s">
        <v>91</v>
      </c>
      <c r="F196" s="13" t="s">
        <v>36</v>
      </c>
      <c r="G196" s="14">
        <v>0.5</v>
      </c>
      <c r="H196" s="13" t="s">
        <v>606</v>
      </c>
      <c r="I196" s="13" t="s">
        <v>724</v>
      </c>
      <c r="J196" s="13" t="s">
        <v>105</v>
      </c>
      <c r="K196" s="13" t="s">
        <v>16</v>
      </c>
      <c r="L196" s="13" t="s">
        <v>743</v>
      </c>
      <c r="M196" s="13" t="s">
        <v>599</v>
      </c>
      <c r="N196" s="13" t="s">
        <v>720</v>
      </c>
      <c r="O196" s="15" t="s">
        <v>605</v>
      </c>
      <c r="P196" s="13" t="s">
        <v>688</v>
      </c>
      <c r="Q196" s="13" t="s">
        <v>617</v>
      </c>
      <c r="R196" s="13" t="s">
        <v>55</v>
      </c>
    </row>
    <row r="197" spans="1:21" s="13" customFormat="1" x14ac:dyDescent="0.25">
      <c r="A197" s="48" t="s">
        <v>738</v>
      </c>
      <c r="B197" s="48" t="s">
        <v>101</v>
      </c>
      <c r="C197" s="48" t="s">
        <v>737</v>
      </c>
      <c r="D197" s="13">
        <v>0.5</v>
      </c>
      <c r="E197" s="13" t="s">
        <v>91</v>
      </c>
      <c r="F197" s="13" t="s">
        <v>37</v>
      </c>
      <c r="G197" s="14">
        <v>0.5</v>
      </c>
      <c r="H197" s="49" t="s">
        <v>723</v>
      </c>
      <c r="I197" s="13" t="s">
        <v>724</v>
      </c>
      <c r="J197" s="13" t="s">
        <v>105</v>
      </c>
      <c r="K197" s="13" t="s">
        <v>16</v>
      </c>
      <c r="L197" s="13" t="s">
        <v>743</v>
      </c>
      <c r="M197" s="13" t="s">
        <v>599</v>
      </c>
      <c r="N197" s="13" t="s">
        <v>720</v>
      </c>
      <c r="O197" s="13" t="s">
        <v>604</v>
      </c>
      <c r="P197" s="52" t="s">
        <v>722</v>
      </c>
      <c r="Q197" s="13" t="s">
        <v>617</v>
      </c>
      <c r="R197" s="13" t="s">
        <v>55</v>
      </c>
    </row>
    <row r="198" spans="1:21" s="13" customFormat="1" x14ac:dyDescent="0.25">
      <c r="A198" s="48" t="s">
        <v>738</v>
      </c>
      <c r="B198" s="48" t="s">
        <v>101</v>
      </c>
      <c r="C198" s="48" t="s">
        <v>737</v>
      </c>
      <c r="D198" s="13">
        <v>0.5</v>
      </c>
      <c r="E198" s="13" t="s">
        <v>91</v>
      </c>
      <c r="F198" s="13" t="s">
        <v>38</v>
      </c>
      <c r="G198" s="14">
        <v>0.1</v>
      </c>
      <c r="H198" s="13" t="s">
        <v>618</v>
      </c>
      <c r="I198" s="13" t="s">
        <v>724</v>
      </c>
      <c r="J198" s="13" t="s">
        <v>105</v>
      </c>
      <c r="K198" s="13" t="s">
        <v>16</v>
      </c>
      <c r="L198" s="13" t="s">
        <v>743</v>
      </c>
      <c r="M198" s="13" t="s">
        <v>599</v>
      </c>
      <c r="N198" s="13" t="s">
        <v>720</v>
      </c>
      <c r="O198" s="13" t="s">
        <v>604</v>
      </c>
      <c r="P198" s="13" t="s">
        <v>688</v>
      </c>
      <c r="Q198" s="15" t="s">
        <v>619</v>
      </c>
      <c r="R198" s="13" t="s">
        <v>55</v>
      </c>
    </row>
    <row r="199" spans="1:21" s="13" customFormat="1" x14ac:dyDescent="0.25">
      <c r="A199" s="48" t="s">
        <v>738</v>
      </c>
      <c r="B199" s="48" t="s">
        <v>101</v>
      </c>
      <c r="C199" s="48" t="s">
        <v>737</v>
      </c>
      <c r="D199" s="13">
        <v>0.5</v>
      </c>
      <c r="E199" s="13" t="s">
        <v>91</v>
      </c>
      <c r="F199" s="13" t="s">
        <v>64</v>
      </c>
      <c r="G199" s="14">
        <v>0.25</v>
      </c>
      <c r="H199" s="13" t="s">
        <v>622</v>
      </c>
      <c r="I199" s="13" t="s">
        <v>724</v>
      </c>
      <c r="J199" s="13" t="s">
        <v>105</v>
      </c>
      <c r="K199" s="13" t="s">
        <v>16</v>
      </c>
      <c r="L199" s="13" t="s">
        <v>743</v>
      </c>
      <c r="M199" s="13" t="s">
        <v>599</v>
      </c>
      <c r="N199" s="13" t="s">
        <v>720</v>
      </c>
      <c r="O199" s="13" t="s">
        <v>604</v>
      </c>
      <c r="P199" s="13" t="s">
        <v>688</v>
      </c>
      <c r="Q199" s="13" t="s">
        <v>617</v>
      </c>
      <c r="R199" s="15" t="s">
        <v>568</v>
      </c>
    </row>
    <row r="200" spans="1:21" s="16" customFormat="1" x14ac:dyDescent="0.25">
      <c r="A200" s="16" t="s">
        <v>725</v>
      </c>
      <c r="B200" s="55" t="s">
        <v>171</v>
      </c>
      <c r="C200" s="16" t="s">
        <v>726</v>
      </c>
      <c r="D200" s="16">
        <v>0.5</v>
      </c>
      <c r="E200" s="16" t="s">
        <v>91</v>
      </c>
      <c r="F200" s="16" t="s">
        <v>18</v>
      </c>
      <c r="G200" s="17">
        <v>1</v>
      </c>
      <c r="H200" s="16" t="s">
        <v>652</v>
      </c>
      <c r="I200" s="16" t="s">
        <v>90</v>
      </c>
      <c r="J200" s="16" t="s">
        <v>105</v>
      </c>
      <c r="K200" s="16" t="s">
        <v>16</v>
      </c>
      <c r="L200" s="16" t="s">
        <v>703</v>
      </c>
      <c r="M200" s="16" t="s">
        <v>599</v>
      </c>
      <c r="N200" s="16" t="s">
        <v>598</v>
      </c>
      <c r="O200" s="16" t="s">
        <v>644</v>
      </c>
      <c r="P200" s="16" t="s">
        <v>604</v>
      </c>
      <c r="Q200" s="16" t="s">
        <v>607</v>
      </c>
      <c r="R200" s="16" t="s">
        <v>615</v>
      </c>
      <c r="S200" s="16" t="s">
        <v>617</v>
      </c>
      <c r="T200" s="16" t="s">
        <v>645</v>
      </c>
      <c r="U200" s="16" t="s">
        <v>55</v>
      </c>
    </row>
    <row r="201" spans="1:21" s="16" customFormat="1" x14ac:dyDescent="0.25">
      <c r="A201" s="16" t="s">
        <v>725</v>
      </c>
      <c r="B201" s="55" t="s">
        <v>171</v>
      </c>
      <c r="C201" s="16" t="s">
        <v>726</v>
      </c>
      <c r="D201" s="16">
        <v>0.5</v>
      </c>
      <c r="E201" s="16" t="s">
        <v>91</v>
      </c>
      <c r="F201" s="16" t="s">
        <v>21</v>
      </c>
      <c r="G201" s="17">
        <v>0.5</v>
      </c>
      <c r="H201" s="16" t="s">
        <v>30</v>
      </c>
      <c r="I201" s="16" t="s">
        <v>90</v>
      </c>
      <c r="J201" s="16" t="s">
        <v>105</v>
      </c>
      <c r="K201" s="16" t="s">
        <v>28</v>
      </c>
      <c r="L201" s="16" t="s">
        <v>703</v>
      </c>
      <c r="M201" s="16" t="s">
        <v>599</v>
      </c>
      <c r="N201" s="16" t="s">
        <v>598</v>
      </c>
      <c r="O201" s="16" t="s">
        <v>644</v>
      </c>
      <c r="P201" s="16" t="s">
        <v>604</v>
      </c>
      <c r="Q201" s="16" t="s">
        <v>607</v>
      </c>
      <c r="R201" s="16" t="s">
        <v>615</v>
      </c>
      <c r="S201" s="16" t="s">
        <v>617</v>
      </c>
      <c r="T201" s="16" t="s">
        <v>645</v>
      </c>
      <c r="U201" s="16" t="s">
        <v>55</v>
      </c>
    </row>
    <row r="202" spans="1:21" s="16" customFormat="1" x14ac:dyDescent="0.25">
      <c r="A202" s="16" t="s">
        <v>725</v>
      </c>
      <c r="B202" s="55" t="s">
        <v>171</v>
      </c>
      <c r="C202" s="16" t="s">
        <v>726</v>
      </c>
      <c r="D202" s="16">
        <v>0.5</v>
      </c>
      <c r="E202" s="16" t="s">
        <v>91</v>
      </c>
      <c r="F202" s="16" t="s">
        <v>22</v>
      </c>
      <c r="G202" s="17">
        <v>0.25</v>
      </c>
      <c r="H202" s="16" t="s">
        <v>31</v>
      </c>
      <c r="I202" s="16" t="s">
        <v>90</v>
      </c>
      <c r="J202" s="16" t="s">
        <v>105</v>
      </c>
      <c r="K202" s="16" t="s">
        <v>29</v>
      </c>
      <c r="L202" s="16" t="s">
        <v>703</v>
      </c>
      <c r="M202" s="16" t="s">
        <v>599</v>
      </c>
      <c r="N202" s="16" t="s">
        <v>598</v>
      </c>
      <c r="O202" s="16" t="s">
        <v>644</v>
      </c>
      <c r="P202" s="16" t="s">
        <v>604</v>
      </c>
      <c r="Q202" s="16" t="s">
        <v>607</v>
      </c>
      <c r="R202" s="16" t="s">
        <v>615</v>
      </c>
      <c r="S202" s="16" t="s">
        <v>617</v>
      </c>
      <c r="T202" s="16" t="s">
        <v>645</v>
      </c>
      <c r="U202" s="16" t="s">
        <v>55</v>
      </c>
    </row>
    <row r="203" spans="1:21" s="16" customFormat="1" x14ac:dyDescent="0.25">
      <c r="A203" s="16" t="s">
        <v>725</v>
      </c>
      <c r="B203" s="55" t="s">
        <v>171</v>
      </c>
      <c r="C203" s="16" t="s">
        <v>726</v>
      </c>
      <c r="D203" s="16">
        <v>0.5</v>
      </c>
      <c r="E203" s="16" t="s">
        <v>91</v>
      </c>
      <c r="F203" s="16" t="s">
        <v>23</v>
      </c>
      <c r="G203" s="17">
        <v>0.5</v>
      </c>
      <c r="H203" s="16" t="s">
        <v>729</v>
      </c>
      <c r="I203" s="16" t="s">
        <v>90</v>
      </c>
      <c r="J203" s="16" t="s">
        <v>105</v>
      </c>
      <c r="K203" s="16" t="s">
        <v>16</v>
      </c>
      <c r="L203" s="16" t="s">
        <v>703</v>
      </c>
      <c r="M203" s="16" t="s">
        <v>599</v>
      </c>
      <c r="N203" s="18" t="s">
        <v>728</v>
      </c>
      <c r="O203" s="16" t="s">
        <v>644</v>
      </c>
      <c r="P203" s="16" t="s">
        <v>604</v>
      </c>
      <c r="Q203" s="16" t="s">
        <v>607</v>
      </c>
      <c r="R203" s="16" t="s">
        <v>615</v>
      </c>
      <c r="S203" s="16" t="s">
        <v>617</v>
      </c>
      <c r="T203" s="16" t="s">
        <v>645</v>
      </c>
      <c r="U203" s="16" t="s">
        <v>55</v>
      </c>
    </row>
    <row r="204" spans="1:21" s="16" customFormat="1" x14ac:dyDescent="0.25">
      <c r="A204" s="16" t="s">
        <v>725</v>
      </c>
      <c r="B204" s="55" t="s">
        <v>171</v>
      </c>
      <c r="C204" s="16" t="s">
        <v>726</v>
      </c>
      <c r="D204" s="16">
        <v>0.5</v>
      </c>
      <c r="E204" s="16" t="s">
        <v>91</v>
      </c>
      <c r="F204" s="16" t="s">
        <v>24</v>
      </c>
      <c r="G204" s="17">
        <v>0.67</v>
      </c>
      <c r="H204" s="16" t="s">
        <v>727</v>
      </c>
      <c r="I204" s="16" t="s">
        <v>90</v>
      </c>
      <c r="J204" s="16" t="s">
        <v>105</v>
      </c>
      <c r="K204" s="16" t="s">
        <v>16</v>
      </c>
      <c r="L204" s="18" t="s">
        <v>668</v>
      </c>
      <c r="M204" s="16" t="s">
        <v>599</v>
      </c>
      <c r="N204" s="16" t="s">
        <v>598</v>
      </c>
      <c r="O204" s="16" t="s">
        <v>644</v>
      </c>
      <c r="P204" s="16" t="s">
        <v>604</v>
      </c>
      <c r="Q204" s="16" t="s">
        <v>607</v>
      </c>
      <c r="R204" s="16" t="s">
        <v>615</v>
      </c>
      <c r="S204" s="16" t="s">
        <v>617</v>
      </c>
      <c r="T204" s="16" t="s">
        <v>645</v>
      </c>
      <c r="U204" s="16" t="s">
        <v>55</v>
      </c>
    </row>
    <row r="205" spans="1:21" s="16" customFormat="1" x14ac:dyDescent="0.25">
      <c r="A205" s="16" t="s">
        <v>725</v>
      </c>
      <c r="B205" s="55" t="s">
        <v>171</v>
      </c>
      <c r="C205" s="16" t="s">
        <v>726</v>
      </c>
      <c r="D205" s="16">
        <v>0.5</v>
      </c>
      <c r="E205" s="16" t="s">
        <v>91</v>
      </c>
      <c r="F205" s="16" t="s">
        <v>25</v>
      </c>
      <c r="G205" s="17">
        <v>0.33</v>
      </c>
      <c r="H205" s="16" t="s">
        <v>602</v>
      </c>
      <c r="I205" s="16" t="s">
        <v>90</v>
      </c>
      <c r="J205" s="16" t="s">
        <v>105</v>
      </c>
      <c r="K205" s="16" t="s">
        <v>16</v>
      </c>
      <c r="L205" s="16" t="s">
        <v>703</v>
      </c>
      <c r="M205" s="18" t="s">
        <v>600</v>
      </c>
      <c r="N205" s="16" t="s">
        <v>598</v>
      </c>
      <c r="O205" s="16" t="s">
        <v>644</v>
      </c>
      <c r="P205" s="16" t="s">
        <v>604</v>
      </c>
      <c r="Q205" s="16" t="s">
        <v>607</v>
      </c>
      <c r="R205" s="16" t="s">
        <v>615</v>
      </c>
      <c r="S205" s="16" t="s">
        <v>617</v>
      </c>
      <c r="T205" s="16" t="s">
        <v>645</v>
      </c>
      <c r="U205" s="16" t="s">
        <v>55</v>
      </c>
    </row>
    <row r="206" spans="1:21" s="16" customFormat="1" x14ac:dyDescent="0.25">
      <c r="A206" s="16" t="s">
        <v>725</v>
      </c>
      <c r="B206" s="55" t="s">
        <v>171</v>
      </c>
      <c r="C206" s="16" t="s">
        <v>726</v>
      </c>
      <c r="F206" s="16" t="s">
        <v>36</v>
      </c>
      <c r="G206" s="17">
        <v>0.9</v>
      </c>
      <c r="H206" s="16" t="s">
        <v>657</v>
      </c>
      <c r="I206" s="16" t="s">
        <v>90</v>
      </c>
      <c r="J206" s="16" t="s">
        <v>105</v>
      </c>
      <c r="K206" s="16" t="s">
        <v>16</v>
      </c>
      <c r="L206" s="16" t="s">
        <v>703</v>
      </c>
      <c r="M206" s="16" t="s">
        <v>599</v>
      </c>
      <c r="N206" s="16" t="s">
        <v>598</v>
      </c>
      <c r="O206" s="18" t="s">
        <v>643</v>
      </c>
      <c r="P206" s="16" t="s">
        <v>604</v>
      </c>
      <c r="Q206" s="16" t="s">
        <v>607</v>
      </c>
      <c r="R206" s="16" t="s">
        <v>615</v>
      </c>
      <c r="S206" s="16" t="s">
        <v>617</v>
      </c>
      <c r="T206" s="16" t="s">
        <v>645</v>
      </c>
      <c r="U206" s="16" t="s">
        <v>55</v>
      </c>
    </row>
    <row r="207" spans="1:21" s="16" customFormat="1" x14ac:dyDescent="0.25">
      <c r="A207" s="16" t="s">
        <v>725</v>
      </c>
      <c r="B207" s="55" t="s">
        <v>171</v>
      </c>
      <c r="C207" s="16" t="s">
        <v>726</v>
      </c>
      <c r="D207" s="16">
        <v>0.5</v>
      </c>
      <c r="E207" s="16" t="s">
        <v>91</v>
      </c>
      <c r="F207" s="16" t="s">
        <v>37</v>
      </c>
      <c r="G207" s="17">
        <v>0.66</v>
      </c>
      <c r="H207" s="16" t="s">
        <v>603</v>
      </c>
      <c r="I207" s="16" t="s">
        <v>90</v>
      </c>
      <c r="J207" s="16" t="s">
        <v>105</v>
      </c>
      <c r="K207" s="16" t="s">
        <v>16</v>
      </c>
      <c r="L207" s="16" t="s">
        <v>703</v>
      </c>
      <c r="M207" s="16" t="s">
        <v>599</v>
      </c>
      <c r="N207" s="16" t="s">
        <v>598</v>
      </c>
      <c r="O207" s="18" t="s">
        <v>656</v>
      </c>
      <c r="P207" s="16" t="s">
        <v>604</v>
      </c>
      <c r="Q207" s="16" t="s">
        <v>607</v>
      </c>
      <c r="R207" s="16" t="s">
        <v>615</v>
      </c>
      <c r="S207" s="16" t="s">
        <v>617</v>
      </c>
      <c r="T207" s="16" t="s">
        <v>645</v>
      </c>
      <c r="U207" s="16" t="s">
        <v>55</v>
      </c>
    </row>
    <row r="208" spans="1:21" s="16" customFormat="1" x14ac:dyDescent="0.25">
      <c r="A208" s="16" t="s">
        <v>725</v>
      </c>
      <c r="B208" s="55" t="s">
        <v>171</v>
      </c>
      <c r="C208" s="16" t="s">
        <v>726</v>
      </c>
      <c r="D208" s="16">
        <v>0.5</v>
      </c>
      <c r="E208" s="16" t="s">
        <v>91</v>
      </c>
      <c r="F208" s="16" t="s">
        <v>38</v>
      </c>
      <c r="G208" s="17">
        <v>0.5</v>
      </c>
      <c r="H208" s="16" t="s">
        <v>660</v>
      </c>
      <c r="I208" s="16" t="s">
        <v>90</v>
      </c>
      <c r="J208" s="16" t="s">
        <v>105</v>
      </c>
      <c r="K208" s="16" t="s">
        <v>16</v>
      </c>
      <c r="L208" s="16" t="s">
        <v>703</v>
      </c>
      <c r="M208" s="16" t="s">
        <v>599</v>
      </c>
      <c r="N208" s="16" t="s">
        <v>598</v>
      </c>
      <c r="O208" s="18" t="s">
        <v>661</v>
      </c>
      <c r="P208" s="16" t="s">
        <v>604</v>
      </c>
      <c r="Q208" s="16" t="s">
        <v>607</v>
      </c>
      <c r="R208" s="16" t="s">
        <v>615</v>
      </c>
      <c r="S208" s="16" t="s">
        <v>617</v>
      </c>
      <c r="T208" s="16" t="s">
        <v>645</v>
      </c>
      <c r="U208" s="16" t="s">
        <v>55</v>
      </c>
    </row>
    <row r="209" spans="1:21" s="16" customFormat="1" x14ac:dyDescent="0.25">
      <c r="A209" s="16" t="s">
        <v>725</v>
      </c>
      <c r="B209" s="55" t="s">
        <v>171</v>
      </c>
      <c r="C209" s="16" t="s">
        <v>726</v>
      </c>
      <c r="D209" s="16">
        <v>0.5</v>
      </c>
      <c r="E209" s="16" t="s">
        <v>91</v>
      </c>
      <c r="F209" s="16" t="s">
        <v>64</v>
      </c>
      <c r="G209" s="17">
        <v>0.5</v>
      </c>
      <c r="H209" s="16" t="s">
        <v>606</v>
      </c>
      <c r="I209" s="16" t="s">
        <v>90</v>
      </c>
      <c r="J209" s="16" t="s">
        <v>105</v>
      </c>
      <c r="K209" s="16" t="s">
        <v>16</v>
      </c>
      <c r="L209" s="16" t="s">
        <v>703</v>
      </c>
      <c r="M209" s="16" t="s">
        <v>599</v>
      </c>
      <c r="N209" s="16" t="s">
        <v>598</v>
      </c>
      <c r="O209" s="16" t="s">
        <v>644</v>
      </c>
      <c r="P209" s="18" t="s">
        <v>605</v>
      </c>
      <c r="Q209" s="16" t="s">
        <v>607</v>
      </c>
      <c r="R209" s="16" t="s">
        <v>615</v>
      </c>
      <c r="S209" s="16" t="s">
        <v>617</v>
      </c>
      <c r="T209" s="16" t="s">
        <v>645</v>
      </c>
      <c r="U209" s="16" t="s">
        <v>55</v>
      </c>
    </row>
    <row r="210" spans="1:21" s="16" customFormat="1" x14ac:dyDescent="0.25">
      <c r="A210" s="16" t="s">
        <v>725</v>
      </c>
      <c r="B210" s="55" t="s">
        <v>171</v>
      </c>
      <c r="C210" s="16" t="s">
        <v>726</v>
      </c>
      <c r="D210" s="16">
        <v>0.5</v>
      </c>
      <c r="E210" s="16" t="s">
        <v>91</v>
      </c>
      <c r="F210" s="16" t="s">
        <v>111</v>
      </c>
      <c r="G210" s="17">
        <v>0.1</v>
      </c>
      <c r="H210" s="16" t="s">
        <v>608</v>
      </c>
      <c r="I210" s="16" t="s">
        <v>90</v>
      </c>
      <c r="J210" s="16" t="s">
        <v>105</v>
      </c>
      <c r="K210" s="16" t="s">
        <v>16</v>
      </c>
      <c r="L210" s="16" t="s">
        <v>703</v>
      </c>
      <c r="M210" s="16" t="s">
        <v>599</v>
      </c>
      <c r="N210" s="16" t="s">
        <v>598</v>
      </c>
      <c r="O210" s="16" t="s">
        <v>644</v>
      </c>
      <c r="P210" s="16" t="s">
        <v>604</v>
      </c>
      <c r="Q210" s="18" t="s">
        <v>609</v>
      </c>
      <c r="R210" s="16" t="s">
        <v>615</v>
      </c>
      <c r="S210" s="16" t="s">
        <v>617</v>
      </c>
      <c r="T210" s="16" t="s">
        <v>645</v>
      </c>
      <c r="U210" s="16" t="s">
        <v>55</v>
      </c>
    </row>
    <row r="211" spans="1:21" s="16" customFormat="1" x14ac:dyDescent="0.25">
      <c r="A211" s="16" t="s">
        <v>725</v>
      </c>
      <c r="B211" s="55" t="s">
        <v>171</v>
      </c>
      <c r="C211" s="16" t="s">
        <v>726</v>
      </c>
      <c r="D211" s="16">
        <v>0.5</v>
      </c>
      <c r="E211" s="16" t="s">
        <v>91</v>
      </c>
      <c r="F211" s="16" t="s">
        <v>123</v>
      </c>
      <c r="G211" s="17">
        <v>0.75</v>
      </c>
      <c r="H211" s="16" t="s">
        <v>614</v>
      </c>
      <c r="I211" s="16" t="s">
        <v>90</v>
      </c>
      <c r="J211" s="16" t="s">
        <v>105</v>
      </c>
      <c r="K211" s="16" t="s">
        <v>16</v>
      </c>
      <c r="L211" s="16" t="s">
        <v>703</v>
      </c>
      <c r="M211" s="16" t="s">
        <v>599</v>
      </c>
      <c r="N211" s="16" t="s">
        <v>598</v>
      </c>
      <c r="O211" s="16" t="s">
        <v>644</v>
      </c>
      <c r="P211" s="16" t="s">
        <v>604</v>
      </c>
      <c r="Q211" s="16" t="s">
        <v>607</v>
      </c>
      <c r="R211" s="18" t="s">
        <v>616</v>
      </c>
      <c r="S211" s="16" t="s">
        <v>617</v>
      </c>
      <c r="T211" s="16" t="s">
        <v>645</v>
      </c>
      <c r="U211" s="16" t="s">
        <v>55</v>
      </c>
    </row>
    <row r="212" spans="1:21" s="16" customFormat="1" x14ac:dyDescent="0.25">
      <c r="A212" s="16" t="s">
        <v>725</v>
      </c>
      <c r="B212" s="55" t="s">
        <v>171</v>
      </c>
      <c r="C212" s="16" t="s">
        <v>726</v>
      </c>
      <c r="D212" s="16">
        <v>0.5</v>
      </c>
      <c r="E212" s="16" t="s">
        <v>91</v>
      </c>
      <c r="F212" s="16" t="s">
        <v>595</v>
      </c>
      <c r="G212" s="17">
        <v>0.1</v>
      </c>
      <c r="H212" s="16" t="s">
        <v>618</v>
      </c>
      <c r="I212" s="16" t="s">
        <v>90</v>
      </c>
      <c r="J212" s="16" t="s">
        <v>105</v>
      </c>
      <c r="K212" s="16" t="s">
        <v>16</v>
      </c>
      <c r="L212" s="16" t="s">
        <v>703</v>
      </c>
      <c r="M212" s="16" t="s">
        <v>599</v>
      </c>
      <c r="N212" s="16" t="s">
        <v>598</v>
      </c>
      <c r="O212" s="16" t="s">
        <v>644</v>
      </c>
      <c r="P212" s="16" t="s">
        <v>604</v>
      </c>
      <c r="Q212" s="16" t="s">
        <v>607</v>
      </c>
      <c r="R212" s="16" t="s">
        <v>615</v>
      </c>
      <c r="S212" s="18" t="s">
        <v>619</v>
      </c>
      <c r="T212" s="16" t="s">
        <v>645</v>
      </c>
      <c r="U212" s="16" t="s">
        <v>55</v>
      </c>
    </row>
    <row r="213" spans="1:21" s="16" customFormat="1" x14ac:dyDescent="0.25">
      <c r="A213" s="16" t="s">
        <v>725</v>
      </c>
      <c r="B213" s="55" t="s">
        <v>171</v>
      </c>
      <c r="C213" s="16" t="s">
        <v>726</v>
      </c>
      <c r="D213" s="16">
        <v>0.5</v>
      </c>
      <c r="E213" s="16" t="s">
        <v>91</v>
      </c>
      <c r="F213" s="16" t="s">
        <v>596</v>
      </c>
      <c r="G213" s="17">
        <v>0.8</v>
      </c>
      <c r="H213" s="16" t="s">
        <v>662</v>
      </c>
      <c r="I213" s="16" t="s">
        <v>90</v>
      </c>
      <c r="J213" s="16" t="s">
        <v>105</v>
      </c>
      <c r="K213" s="16" t="s">
        <v>16</v>
      </c>
      <c r="L213" s="16" t="s">
        <v>703</v>
      </c>
      <c r="M213" s="16" t="s">
        <v>599</v>
      </c>
      <c r="N213" s="16" t="s">
        <v>598</v>
      </c>
      <c r="O213" s="16" t="s">
        <v>644</v>
      </c>
      <c r="P213" s="16" t="s">
        <v>604</v>
      </c>
      <c r="Q213" s="16" t="s">
        <v>607</v>
      </c>
      <c r="R213" s="16" t="s">
        <v>615</v>
      </c>
      <c r="S213" s="16" t="s">
        <v>617</v>
      </c>
      <c r="T213" s="18" t="s">
        <v>620</v>
      </c>
      <c r="U213" s="16" t="s">
        <v>55</v>
      </c>
    </row>
    <row r="214" spans="1:21" s="16" customFormat="1" x14ac:dyDescent="0.25">
      <c r="A214" s="16" t="s">
        <v>725</v>
      </c>
      <c r="B214" s="55" t="s">
        <v>171</v>
      </c>
      <c r="C214" s="16" t="s">
        <v>726</v>
      </c>
      <c r="D214" s="16">
        <v>0.5</v>
      </c>
      <c r="E214" s="16" t="s">
        <v>91</v>
      </c>
      <c r="F214" s="16" t="s">
        <v>613</v>
      </c>
      <c r="G214" s="17">
        <v>0.5</v>
      </c>
      <c r="H214" s="16" t="s">
        <v>621</v>
      </c>
      <c r="I214" s="16" t="s">
        <v>90</v>
      </c>
      <c r="J214" s="16" t="s">
        <v>105</v>
      </c>
      <c r="K214" s="16" t="s">
        <v>16</v>
      </c>
      <c r="L214" s="16" t="s">
        <v>703</v>
      </c>
      <c r="M214" s="16" t="s">
        <v>599</v>
      </c>
      <c r="N214" s="16" t="s">
        <v>598</v>
      </c>
      <c r="O214" s="16" t="s">
        <v>644</v>
      </c>
      <c r="P214" s="16" t="s">
        <v>604</v>
      </c>
      <c r="Q214" s="16" t="s">
        <v>607</v>
      </c>
      <c r="R214" s="16" t="s">
        <v>615</v>
      </c>
      <c r="S214" s="16" t="s">
        <v>617</v>
      </c>
      <c r="T214" s="18" t="s">
        <v>663</v>
      </c>
      <c r="U214" s="16" t="s">
        <v>55</v>
      </c>
    </row>
    <row r="215" spans="1:21" s="16" customFormat="1" x14ac:dyDescent="0.25">
      <c r="A215" s="16" t="s">
        <v>725</v>
      </c>
      <c r="B215" s="55" t="s">
        <v>171</v>
      </c>
      <c r="C215" s="16" t="s">
        <v>726</v>
      </c>
      <c r="D215" s="16">
        <v>0.5</v>
      </c>
      <c r="E215" s="16" t="s">
        <v>91</v>
      </c>
      <c r="F215" s="16" t="s">
        <v>648</v>
      </c>
      <c r="G215" s="17">
        <v>0.5</v>
      </c>
      <c r="H215" s="16" t="s">
        <v>622</v>
      </c>
      <c r="I215" s="16" t="s">
        <v>90</v>
      </c>
      <c r="J215" s="16" t="s">
        <v>105</v>
      </c>
      <c r="K215" s="16" t="s">
        <v>16</v>
      </c>
      <c r="L215" s="16" t="s">
        <v>703</v>
      </c>
      <c r="M215" s="16" t="s">
        <v>599</v>
      </c>
      <c r="N215" s="16" t="s">
        <v>598</v>
      </c>
      <c r="O215" s="16" t="s">
        <v>644</v>
      </c>
      <c r="P215" s="16" t="s">
        <v>604</v>
      </c>
      <c r="Q215" s="16" t="s">
        <v>607</v>
      </c>
      <c r="R215" s="16" t="s">
        <v>615</v>
      </c>
      <c r="S215" s="16" t="s">
        <v>617</v>
      </c>
      <c r="T215" s="16" t="s">
        <v>645</v>
      </c>
      <c r="U215" s="18" t="s">
        <v>568</v>
      </c>
    </row>
    <row r="216" spans="1:21" x14ac:dyDescent="0.25">
      <c r="A216" s="19" t="s">
        <v>556</v>
      </c>
      <c r="B216" s="56" t="s">
        <v>627</v>
      </c>
      <c r="C216" s="19" t="s">
        <v>730</v>
      </c>
      <c r="D216" s="19">
        <v>0.5</v>
      </c>
      <c r="E216" s="19" t="s">
        <v>91</v>
      </c>
      <c r="F216" s="19" t="s">
        <v>18</v>
      </c>
      <c r="G216" s="20">
        <v>1</v>
      </c>
      <c r="H216" s="19" t="s">
        <v>652</v>
      </c>
      <c r="I216" s="19" t="s">
        <v>90</v>
      </c>
      <c r="J216" s="19" t="s">
        <v>105</v>
      </c>
      <c r="K216" s="19" t="s">
        <v>16</v>
      </c>
      <c r="L216" s="19" t="s">
        <v>703</v>
      </c>
      <c r="M216" s="19" t="s">
        <v>599</v>
      </c>
      <c r="N216" s="19" t="s">
        <v>598</v>
      </c>
      <c r="O216" s="19" t="s">
        <v>644</v>
      </c>
      <c r="P216" s="19" t="s">
        <v>604</v>
      </c>
      <c r="Q216" s="19" t="s">
        <v>607</v>
      </c>
      <c r="R216" s="19" t="s">
        <v>615</v>
      </c>
      <c r="S216" s="19" t="s">
        <v>617</v>
      </c>
      <c r="T216" s="19" t="s">
        <v>645</v>
      </c>
      <c r="U216" s="19" t="s">
        <v>55</v>
      </c>
    </row>
    <row r="217" spans="1:21" x14ac:dyDescent="0.25">
      <c r="A217" s="19" t="s">
        <v>556</v>
      </c>
      <c r="B217" s="56" t="s">
        <v>627</v>
      </c>
      <c r="C217" s="19" t="s">
        <v>730</v>
      </c>
      <c r="D217" s="19">
        <v>0.5</v>
      </c>
      <c r="E217" s="19" t="s">
        <v>91</v>
      </c>
      <c r="F217" s="19" t="s">
        <v>21</v>
      </c>
      <c r="G217" s="20">
        <v>0.5</v>
      </c>
      <c r="H217" s="19" t="s">
        <v>30</v>
      </c>
      <c r="I217" s="19" t="s">
        <v>90</v>
      </c>
      <c r="J217" s="19" t="s">
        <v>105</v>
      </c>
      <c r="K217" s="19" t="s">
        <v>28</v>
      </c>
      <c r="L217" s="19" t="s">
        <v>703</v>
      </c>
      <c r="M217" s="19" t="s">
        <v>599</v>
      </c>
      <c r="N217" s="19" t="s">
        <v>598</v>
      </c>
      <c r="O217" s="19" t="s">
        <v>644</v>
      </c>
      <c r="P217" s="19" t="s">
        <v>604</v>
      </c>
      <c r="Q217" s="19" t="s">
        <v>607</v>
      </c>
      <c r="R217" s="19" t="s">
        <v>615</v>
      </c>
      <c r="S217" s="19" t="s">
        <v>617</v>
      </c>
      <c r="T217" s="19" t="s">
        <v>645</v>
      </c>
      <c r="U217" s="19" t="s">
        <v>55</v>
      </c>
    </row>
    <row r="218" spans="1:21" x14ac:dyDescent="0.25">
      <c r="A218" s="19" t="s">
        <v>556</v>
      </c>
      <c r="B218" s="56" t="s">
        <v>627</v>
      </c>
      <c r="C218" s="19" t="s">
        <v>730</v>
      </c>
      <c r="D218" s="19">
        <v>0.5</v>
      </c>
      <c r="E218" s="19" t="s">
        <v>91</v>
      </c>
      <c r="F218" s="19" t="s">
        <v>22</v>
      </c>
      <c r="G218" s="20">
        <v>0.25</v>
      </c>
      <c r="H218" s="19" t="s">
        <v>31</v>
      </c>
      <c r="I218" s="19" t="s">
        <v>90</v>
      </c>
      <c r="J218" s="19" t="s">
        <v>105</v>
      </c>
      <c r="K218" s="19" t="s">
        <v>29</v>
      </c>
      <c r="L218" s="19" t="s">
        <v>703</v>
      </c>
      <c r="M218" s="19" t="s">
        <v>599</v>
      </c>
      <c r="N218" s="19" t="s">
        <v>598</v>
      </c>
      <c r="O218" s="19" t="s">
        <v>644</v>
      </c>
      <c r="P218" s="19" t="s">
        <v>604</v>
      </c>
      <c r="Q218" s="19" t="s">
        <v>607</v>
      </c>
      <c r="R218" s="19" t="s">
        <v>615</v>
      </c>
      <c r="S218" s="19" t="s">
        <v>617</v>
      </c>
      <c r="T218" s="19" t="s">
        <v>645</v>
      </c>
      <c r="U218" s="19" t="s">
        <v>55</v>
      </c>
    </row>
    <row r="219" spans="1:21" x14ac:dyDescent="0.25">
      <c r="A219" s="19" t="s">
        <v>556</v>
      </c>
      <c r="B219" s="56" t="s">
        <v>627</v>
      </c>
      <c r="C219" s="19" t="s">
        <v>730</v>
      </c>
      <c r="D219" s="19">
        <v>0.5</v>
      </c>
      <c r="E219" s="19" t="s">
        <v>91</v>
      </c>
      <c r="F219" s="19" t="s">
        <v>23</v>
      </c>
      <c r="G219" s="20">
        <v>0.5</v>
      </c>
      <c r="H219" s="19" t="s">
        <v>729</v>
      </c>
      <c r="I219" s="19" t="s">
        <v>90</v>
      </c>
      <c r="J219" s="19" t="s">
        <v>105</v>
      </c>
      <c r="K219" s="19" t="s">
        <v>16</v>
      </c>
      <c r="L219" s="19" t="s">
        <v>703</v>
      </c>
      <c r="M219" s="19" t="s">
        <v>599</v>
      </c>
      <c r="N219" s="21" t="s">
        <v>728</v>
      </c>
      <c r="O219" s="19" t="s">
        <v>644</v>
      </c>
      <c r="P219" s="19" t="s">
        <v>604</v>
      </c>
      <c r="Q219" s="19" t="s">
        <v>607</v>
      </c>
      <c r="R219" s="19" t="s">
        <v>615</v>
      </c>
      <c r="S219" s="19" t="s">
        <v>617</v>
      </c>
      <c r="T219" s="19" t="s">
        <v>645</v>
      </c>
      <c r="U219" s="19" t="s">
        <v>55</v>
      </c>
    </row>
    <row r="220" spans="1:21" x14ac:dyDescent="0.25">
      <c r="A220" s="19" t="s">
        <v>556</v>
      </c>
      <c r="B220" s="56" t="s">
        <v>627</v>
      </c>
      <c r="C220" s="19" t="s">
        <v>730</v>
      </c>
      <c r="D220" s="19">
        <v>0.5</v>
      </c>
      <c r="E220" s="19" t="s">
        <v>91</v>
      </c>
      <c r="F220" s="19" t="s">
        <v>24</v>
      </c>
      <c r="G220" s="20">
        <v>0.67</v>
      </c>
      <c r="H220" s="19" t="s">
        <v>727</v>
      </c>
      <c r="I220" s="19" t="s">
        <v>90</v>
      </c>
      <c r="J220" s="19" t="s">
        <v>105</v>
      </c>
      <c r="K220" s="19" t="s">
        <v>16</v>
      </c>
      <c r="L220" s="21" t="s">
        <v>668</v>
      </c>
      <c r="M220" s="19" t="s">
        <v>599</v>
      </c>
      <c r="N220" s="19" t="s">
        <v>598</v>
      </c>
      <c r="O220" s="19" t="s">
        <v>644</v>
      </c>
      <c r="P220" s="19" t="s">
        <v>604</v>
      </c>
      <c r="Q220" s="19" t="s">
        <v>607</v>
      </c>
      <c r="R220" s="19" t="s">
        <v>615</v>
      </c>
      <c r="S220" s="19" t="s">
        <v>617</v>
      </c>
      <c r="T220" s="19" t="s">
        <v>645</v>
      </c>
      <c r="U220" s="19" t="s">
        <v>55</v>
      </c>
    </row>
    <row r="221" spans="1:21" x14ac:dyDescent="0.25">
      <c r="A221" s="19" t="s">
        <v>556</v>
      </c>
      <c r="B221" s="56" t="s">
        <v>627</v>
      </c>
      <c r="C221" s="19" t="s">
        <v>730</v>
      </c>
      <c r="D221" s="19">
        <v>0.5</v>
      </c>
      <c r="E221" s="19" t="s">
        <v>91</v>
      </c>
      <c r="F221" s="19" t="s">
        <v>25</v>
      </c>
      <c r="G221" s="20">
        <v>0.33</v>
      </c>
      <c r="H221" s="19" t="s">
        <v>602</v>
      </c>
      <c r="I221" s="19" t="s">
        <v>90</v>
      </c>
      <c r="J221" s="19" t="s">
        <v>105</v>
      </c>
      <c r="K221" s="19" t="s">
        <v>16</v>
      </c>
      <c r="L221" s="19" t="s">
        <v>703</v>
      </c>
      <c r="M221" s="21" t="s">
        <v>600</v>
      </c>
      <c r="N221" s="19" t="s">
        <v>598</v>
      </c>
      <c r="O221" s="19" t="s">
        <v>644</v>
      </c>
      <c r="P221" s="19" t="s">
        <v>604</v>
      </c>
      <c r="Q221" s="19" t="s">
        <v>607</v>
      </c>
      <c r="R221" s="19" t="s">
        <v>615</v>
      </c>
      <c r="S221" s="19" t="s">
        <v>617</v>
      </c>
      <c r="T221" s="19" t="s">
        <v>645</v>
      </c>
      <c r="U221" s="19" t="s">
        <v>55</v>
      </c>
    </row>
    <row r="222" spans="1:21" x14ac:dyDescent="0.25">
      <c r="A222" s="19" t="s">
        <v>556</v>
      </c>
      <c r="B222" s="56" t="s">
        <v>627</v>
      </c>
      <c r="C222" s="19" t="s">
        <v>730</v>
      </c>
      <c r="D222" s="19"/>
      <c r="E222" s="19"/>
      <c r="F222" s="19" t="s">
        <v>36</v>
      </c>
      <c r="G222" s="20">
        <v>0.9</v>
      </c>
      <c r="H222" s="19" t="s">
        <v>657</v>
      </c>
      <c r="I222" s="19" t="s">
        <v>90</v>
      </c>
      <c r="J222" s="19" t="s">
        <v>105</v>
      </c>
      <c r="K222" s="19" t="s">
        <v>16</v>
      </c>
      <c r="L222" s="19" t="s">
        <v>703</v>
      </c>
      <c r="M222" s="19" t="s">
        <v>599</v>
      </c>
      <c r="N222" s="19" t="s">
        <v>598</v>
      </c>
      <c r="O222" s="21" t="s">
        <v>643</v>
      </c>
      <c r="P222" s="19" t="s">
        <v>604</v>
      </c>
      <c r="Q222" s="19" t="s">
        <v>607</v>
      </c>
      <c r="R222" s="19" t="s">
        <v>615</v>
      </c>
      <c r="S222" s="19" t="s">
        <v>617</v>
      </c>
      <c r="T222" s="19" t="s">
        <v>645</v>
      </c>
      <c r="U222" s="19" t="s">
        <v>55</v>
      </c>
    </row>
    <row r="223" spans="1:21" x14ac:dyDescent="0.25">
      <c r="A223" s="19" t="s">
        <v>556</v>
      </c>
      <c r="B223" s="56" t="s">
        <v>627</v>
      </c>
      <c r="C223" s="19" t="s">
        <v>730</v>
      </c>
      <c r="D223" s="19">
        <v>0.5</v>
      </c>
      <c r="E223" s="19" t="s">
        <v>91</v>
      </c>
      <c r="F223" s="19" t="s">
        <v>37</v>
      </c>
      <c r="G223" s="20">
        <v>0.66</v>
      </c>
      <c r="H223" s="19" t="s">
        <v>603</v>
      </c>
      <c r="I223" s="19" t="s">
        <v>90</v>
      </c>
      <c r="J223" s="19" t="s">
        <v>105</v>
      </c>
      <c r="K223" s="19" t="s">
        <v>16</v>
      </c>
      <c r="L223" s="19" t="s">
        <v>703</v>
      </c>
      <c r="M223" s="19" t="s">
        <v>599</v>
      </c>
      <c r="N223" s="19" t="s">
        <v>598</v>
      </c>
      <c r="O223" s="21" t="s">
        <v>656</v>
      </c>
      <c r="P223" s="19" t="s">
        <v>604</v>
      </c>
      <c r="Q223" s="19" t="s">
        <v>607</v>
      </c>
      <c r="R223" s="19" t="s">
        <v>615</v>
      </c>
      <c r="S223" s="19" t="s">
        <v>617</v>
      </c>
      <c r="T223" s="19" t="s">
        <v>645</v>
      </c>
      <c r="U223" s="19" t="s">
        <v>55</v>
      </c>
    </row>
    <row r="224" spans="1:21" x14ac:dyDescent="0.25">
      <c r="A224" s="19" t="s">
        <v>556</v>
      </c>
      <c r="B224" s="56" t="s">
        <v>627</v>
      </c>
      <c r="C224" s="19" t="s">
        <v>730</v>
      </c>
      <c r="D224" s="19">
        <v>0.5</v>
      </c>
      <c r="E224" s="19" t="s">
        <v>91</v>
      </c>
      <c r="F224" s="19" t="s">
        <v>38</v>
      </c>
      <c r="G224" s="20">
        <v>0.5</v>
      </c>
      <c r="H224" s="19" t="s">
        <v>660</v>
      </c>
      <c r="I224" s="19" t="s">
        <v>90</v>
      </c>
      <c r="J224" s="19" t="s">
        <v>105</v>
      </c>
      <c r="K224" s="19" t="s">
        <v>16</v>
      </c>
      <c r="L224" s="19" t="s">
        <v>703</v>
      </c>
      <c r="M224" s="19" t="s">
        <v>599</v>
      </c>
      <c r="N224" s="19" t="s">
        <v>598</v>
      </c>
      <c r="O224" s="21" t="s">
        <v>661</v>
      </c>
      <c r="P224" s="19" t="s">
        <v>604</v>
      </c>
      <c r="Q224" s="19" t="s">
        <v>607</v>
      </c>
      <c r="R224" s="19" t="s">
        <v>615</v>
      </c>
      <c r="S224" s="19" t="s">
        <v>617</v>
      </c>
      <c r="T224" s="19" t="s">
        <v>645</v>
      </c>
      <c r="U224" s="19" t="s">
        <v>55</v>
      </c>
    </row>
    <row r="225" spans="1:21" x14ac:dyDescent="0.25">
      <c r="A225" s="19" t="s">
        <v>556</v>
      </c>
      <c r="B225" s="56" t="s">
        <v>627</v>
      </c>
      <c r="C225" s="19" t="s">
        <v>730</v>
      </c>
      <c r="D225" s="19">
        <v>0.5</v>
      </c>
      <c r="E225" s="19" t="s">
        <v>91</v>
      </c>
      <c r="F225" s="19" t="s">
        <v>64</v>
      </c>
      <c r="G225" s="20">
        <v>0.5</v>
      </c>
      <c r="H225" s="19" t="s">
        <v>606</v>
      </c>
      <c r="I225" s="19" t="s">
        <v>90</v>
      </c>
      <c r="J225" s="19" t="s">
        <v>105</v>
      </c>
      <c r="K225" s="19" t="s">
        <v>16</v>
      </c>
      <c r="L225" s="19" t="s">
        <v>703</v>
      </c>
      <c r="M225" s="19" t="s">
        <v>599</v>
      </c>
      <c r="N225" s="19" t="s">
        <v>598</v>
      </c>
      <c r="O225" s="19" t="s">
        <v>644</v>
      </c>
      <c r="P225" s="21" t="s">
        <v>605</v>
      </c>
      <c r="Q225" s="19" t="s">
        <v>607</v>
      </c>
      <c r="R225" s="19" t="s">
        <v>615</v>
      </c>
      <c r="S225" s="19" t="s">
        <v>617</v>
      </c>
      <c r="T225" s="19" t="s">
        <v>645</v>
      </c>
      <c r="U225" s="19" t="s">
        <v>55</v>
      </c>
    </row>
    <row r="226" spans="1:21" x14ac:dyDescent="0.25">
      <c r="A226" s="19" t="s">
        <v>556</v>
      </c>
      <c r="B226" s="56" t="s">
        <v>627</v>
      </c>
      <c r="C226" s="19" t="s">
        <v>730</v>
      </c>
      <c r="D226" s="19">
        <v>0.5</v>
      </c>
      <c r="E226" s="19" t="s">
        <v>91</v>
      </c>
      <c r="F226" s="19" t="s">
        <v>111</v>
      </c>
      <c r="G226" s="20">
        <v>0.1</v>
      </c>
      <c r="H226" s="19" t="s">
        <v>608</v>
      </c>
      <c r="I226" s="19" t="s">
        <v>90</v>
      </c>
      <c r="J226" s="19" t="s">
        <v>105</v>
      </c>
      <c r="K226" s="19" t="s">
        <v>16</v>
      </c>
      <c r="L226" s="19" t="s">
        <v>703</v>
      </c>
      <c r="M226" s="19" t="s">
        <v>599</v>
      </c>
      <c r="N226" s="19" t="s">
        <v>598</v>
      </c>
      <c r="O226" s="19" t="s">
        <v>644</v>
      </c>
      <c r="P226" s="19" t="s">
        <v>604</v>
      </c>
      <c r="Q226" s="21" t="s">
        <v>609</v>
      </c>
      <c r="R226" s="19" t="s">
        <v>615</v>
      </c>
      <c r="S226" s="19" t="s">
        <v>617</v>
      </c>
      <c r="T226" s="19" t="s">
        <v>645</v>
      </c>
      <c r="U226" s="19" t="s">
        <v>55</v>
      </c>
    </row>
    <row r="227" spans="1:21" x14ac:dyDescent="0.25">
      <c r="A227" s="19" t="s">
        <v>556</v>
      </c>
      <c r="B227" s="56" t="s">
        <v>627</v>
      </c>
      <c r="C227" s="19" t="s">
        <v>730</v>
      </c>
      <c r="D227" s="19">
        <v>0.5</v>
      </c>
      <c r="E227" s="19" t="s">
        <v>91</v>
      </c>
      <c r="F227" s="19" t="s">
        <v>123</v>
      </c>
      <c r="G227" s="20">
        <v>0.75</v>
      </c>
      <c r="H227" s="19" t="s">
        <v>614</v>
      </c>
      <c r="I227" s="19" t="s">
        <v>90</v>
      </c>
      <c r="J227" s="19" t="s">
        <v>105</v>
      </c>
      <c r="K227" s="19" t="s">
        <v>16</v>
      </c>
      <c r="L227" s="19" t="s">
        <v>703</v>
      </c>
      <c r="M227" s="19" t="s">
        <v>599</v>
      </c>
      <c r="N227" s="19" t="s">
        <v>598</v>
      </c>
      <c r="O227" s="19" t="s">
        <v>644</v>
      </c>
      <c r="P227" s="19" t="s">
        <v>604</v>
      </c>
      <c r="Q227" s="19" t="s">
        <v>607</v>
      </c>
      <c r="R227" s="21" t="s">
        <v>616</v>
      </c>
      <c r="S227" s="19" t="s">
        <v>617</v>
      </c>
      <c r="T227" s="19" t="s">
        <v>645</v>
      </c>
      <c r="U227" s="19" t="s">
        <v>55</v>
      </c>
    </row>
    <row r="228" spans="1:21" x14ac:dyDescent="0.25">
      <c r="A228" s="19" t="s">
        <v>556</v>
      </c>
      <c r="B228" s="56" t="s">
        <v>627</v>
      </c>
      <c r="C228" s="19" t="s">
        <v>730</v>
      </c>
      <c r="D228" s="19">
        <v>0.5</v>
      </c>
      <c r="E228" s="19" t="s">
        <v>91</v>
      </c>
      <c r="F228" s="19" t="s">
        <v>595</v>
      </c>
      <c r="G228" s="20">
        <v>0.1</v>
      </c>
      <c r="H228" s="19" t="s">
        <v>618</v>
      </c>
      <c r="I228" s="19" t="s">
        <v>90</v>
      </c>
      <c r="J228" s="19" t="s">
        <v>105</v>
      </c>
      <c r="K228" s="19" t="s">
        <v>16</v>
      </c>
      <c r="L228" s="19" t="s">
        <v>703</v>
      </c>
      <c r="M228" s="19" t="s">
        <v>599</v>
      </c>
      <c r="N228" s="19" t="s">
        <v>598</v>
      </c>
      <c r="O228" s="19" t="s">
        <v>644</v>
      </c>
      <c r="P228" s="19" t="s">
        <v>604</v>
      </c>
      <c r="Q228" s="19" t="s">
        <v>607</v>
      </c>
      <c r="R228" s="19" t="s">
        <v>615</v>
      </c>
      <c r="S228" s="21" t="s">
        <v>619</v>
      </c>
      <c r="T228" s="19" t="s">
        <v>645</v>
      </c>
      <c r="U228" s="19" t="s">
        <v>55</v>
      </c>
    </row>
    <row r="229" spans="1:21" x14ac:dyDescent="0.25">
      <c r="A229" s="19" t="s">
        <v>556</v>
      </c>
      <c r="B229" s="56" t="s">
        <v>627</v>
      </c>
      <c r="C229" s="19" t="s">
        <v>730</v>
      </c>
      <c r="D229" s="19">
        <v>0.5</v>
      </c>
      <c r="E229" s="19" t="s">
        <v>91</v>
      </c>
      <c r="F229" s="19" t="s">
        <v>596</v>
      </c>
      <c r="G229" s="20">
        <v>0.8</v>
      </c>
      <c r="H229" s="19" t="s">
        <v>662</v>
      </c>
      <c r="I229" s="19" t="s">
        <v>90</v>
      </c>
      <c r="J229" s="19" t="s">
        <v>105</v>
      </c>
      <c r="K229" s="19" t="s">
        <v>16</v>
      </c>
      <c r="L229" s="19" t="s">
        <v>703</v>
      </c>
      <c r="M229" s="19" t="s">
        <v>599</v>
      </c>
      <c r="N229" s="19" t="s">
        <v>598</v>
      </c>
      <c r="O229" s="19" t="s">
        <v>644</v>
      </c>
      <c r="P229" s="19" t="s">
        <v>604</v>
      </c>
      <c r="Q229" s="19" t="s">
        <v>607</v>
      </c>
      <c r="R229" s="19" t="s">
        <v>615</v>
      </c>
      <c r="S229" s="19" t="s">
        <v>617</v>
      </c>
      <c r="T229" s="21" t="s">
        <v>620</v>
      </c>
      <c r="U229" s="19" t="s">
        <v>55</v>
      </c>
    </row>
    <row r="230" spans="1:21" x14ac:dyDescent="0.25">
      <c r="A230" s="19" t="s">
        <v>556</v>
      </c>
      <c r="B230" s="56" t="s">
        <v>627</v>
      </c>
      <c r="C230" s="19" t="s">
        <v>730</v>
      </c>
      <c r="D230" s="19">
        <v>0.5</v>
      </c>
      <c r="E230" s="19" t="s">
        <v>91</v>
      </c>
      <c r="F230" s="19" t="s">
        <v>613</v>
      </c>
      <c r="G230" s="20">
        <v>0.5</v>
      </c>
      <c r="H230" s="19" t="s">
        <v>621</v>
      </c>
      <c r="I230" s="19" t="s">
        <v>90</v>
      </c>
      <c r="J230" s="19" t="s">
        <v>105</v>
      </c>
      <c r="K230" s="19" t="s">
        <v>16</v>
      </c>
      <c r="L230" s="19" t="s">
        <v>703</v>
      </c>
      <c r="M230" s="19" t="s">
        <v>599</v>
      </c>
      <c r="N230" s="19" t="s">
        <v>598</v>
      </c>
      <c r="O230" s="19" t="s">
        <v>644</v>
      </c>
      <c r="P230" s="19" t="s">
        <v>604</v>
      </c>
      <c r="Q230" s="19" t="s">
        <v>607</v>
      </c>
      <c r="R230" s="19" t="s">
        <v>615</v>
      </c>
      <c r="S230" s="19" t="s">
        <v>617</v>
      </c>
      <c r="T230" s="21" t="s">
        <v>663</v>
      </c>
      <c r="U230" s="19" t="s">
        <v>55</v>
      </c>
    </row>
    <row r="231" spans="1:21" x14ac:dyDescent="0.25">
      <c r="A231" s="19" t="s">
        <v>556</v>
      </c>
      <c r="B231" s="56" t="s">
        <v>627</v>
      </c>
      <c r="C231" s="19" t="s">
        <v>730</v>
      </c>
      <c r="D231" s="19">
        <v>0.5</v>
      </c>
      <c r="E231" s="19" t="s">
        <v>91</v>
      </c>
      <c r="F231" s="19" t="s">
        <v>648</v>
      </c>
      <c r="G231" s="20">
        <v>0.5</v>
      </c>
      <c r="H231" s="19" t="s">
        <v>622</v>
      </c>
      <c r="I231" s="19" t="s">
        <v>90</v>
      </c>
      <c r="J231" s="19" t="s">
        <v>105</v>
      </c>
      <c r="K231" s="19" t="s">
        <v>16</v>
      </c>
      <c r="L231" s="19" t="s">
        <v>703</v>
      </c>
      <c r="M231" s="19" t="s">
        <v>599</v>
      </c>
      <c r="N231" s="19" t="s">
        <v>598</v>
      </c>
      <c r="O231" s="19" t="s">
        <v>644</v>
      </c>
      <c r="P231" s="19" t="s">
        <v>604</v>
      </c>
      <c r="Q231" s="19" t="s">
        <v>607</v>
      </c>
      <c r="R231" s="19" t="s">
        <v>615</v>
      </c>
      <c r="S231" s="19" t="s">
        <v>617</v>
      </c>
      <c r="T231" s="19" t="s">
        <v>645</v>
      </c>
      <c r="U231" s="21" t="s">
        <v>568</v>
      </c>
    </row>
    <row r="232" spans="1:21" x14ac:dyDescent="0.25">
      <c r="A232" s="16" t="s">
        <v>731</v>
      </c>
      <c r="B232" s="55" t="s">
        <v>144</v>
      </c>
      <c r="C232" s="16" t="s">
        <v>732</v>
      </c>
      <c r="D232" s="16">
        <v>0.5</v>
      </c>
      <c r="E232" s="16" t="s">
        <v>91</v>
      </c>
      <c r="F232" s="16" t="s">
        <v>18</v>
      </c>
      <c r="G232" s="17">
        <v>1</v>
      </c>
      <c r="H232" s="16" t="s">
        <v>652</v>
      </c>
      <c r="I232" s="16" t="s">
        <v>90</v>
      </c>
      <c r="J232" s="16" t="s">
        <v>105</v>
      </c>
      <c r="K232" s="16" t="s">
        <v>16</v>
      </c>
      <c r="L232" s="16" t="s">
        <v>668</v>
      </c>
      <c r="M232" s="16" t="s">
        <v>653</v>
      </c>
      <c r="N232" s="16" t="s">
        <v>597</v>
      </c>
      <c r="O232" s="16" t="s">
        <v>644</v>
      </c>
      <c r="P232" s="16" t="s">
        <v>604</v>
      </c>
      <c r="Q232" s="16" t="s">
        <v>607</v>
      </c>
      <c r="R232" s="16" t="s">
        <v>615</v>
      </c>
      <c r="S232" s="16" t="s">
        <v>617</v>
      </c>
      <c r="T232" s="16" t="s">
        <v>645</v>
      </c>
      <c r="U232" s="16" t="s">
        <v>55</v>
      </c>
    </row>
    <row r="233" spans="1:21" x14ac:dyDescent="0.25">
      <c r="A233" s="16" t="s">
        <v>731</v>
      </c>
      <c r="B233" s="55" t="s">
        <v>144</v>
      </c>
      <c r="C233" s="16" t="s">
        <v>732</v>
      </c>
      <c r="D233" s="16">
        <v>0.5</v>
      </c>
      <c r="E233" s="16" t="s">
        <v>91</v>
      </c>
      <c r="F233" s="16" t="s">
        <v>21</v>
      </c>
      <c r="G233" s="17">
        <v>0.5</v>
      </c>
      <c r="H233" s="16" t="s">
        <v>30</v>
      </c>
      <c r="I233" s="16" t="s">
        <v>90</v>
      </c>
      <c r="J233" s="16" t="s">
        <v>105</v>
      </c>
      <c r="K233" s="16" t="s">
        <v>28</v>
      </c>
      <c r="L233" s="16" t="s">
        <v>668</v>
      </c>
      <c r="M233" s="16" t="s">
        <v>653</v>
      </c>
      <c r="N233" s="16" t="s">
        <v>597</v>
      </c>
      <c r="O233" s="16" t="s">
        <v>644</v>
      </c>
      <c r="P233" s="16" t="s">
        <v>604</v>
      </c>
      <c r="Q233" s="16" t="s">
        <v>607</v>
      </c>
      <c r="R233" s="16" t="s">
        <v>615</v>
      </c>
      <c r="S233" s="16" t="s">
        <v>617</v>
      </c>
      <c r="T233" s="16" t="s">
        <v>645</v>
      </c>
      <c r="U233" s="16" t="s">
        <v>55</v>
      </c>
    </row>
    <row r="234" spans="1:21" x14ac:dyDescent="0.25">
      <c r="A234" s="16" t="s">
        <v>731</v>
      </c>
      <c r="B234" s="55" t="s">
        <v>144</v>
      </c>
      <c r="C234" s="16" t="s">
        <v>732</v>
      </c>
      <c r="D234" s="16">
        <v>0.5</v>
      </c>
      <c r="E234" s="16" t="s">
        <v>91</v>
      </c>
      <c r="F234" s="16" t="s">
        <v>22</v>
      </c>
      <c r="G234" s="17">
        <v>0.25</v>
      </c>
      <c r="H234" s="16" t="s">
        <v>31</v>
      </c>
      <c r="I234" s="16" t="s">
        <v>90</v>
      </c>
      <c r="J234" s="16" t="s">
        <v>105</v>
      </c>
      <c r="K234" s="16" t="s">
        <v>29</v>
      </c>
      <c r="L234" s="16" t="s">
        <v>668</v>
      </c>
      <c r="M234" s="16" t="s">
        <v>653</v>
      </c>
      <c r="N234" s="16" t="s">
        <v>597</v>
      </c>
      <c r="O234" s="16" t="s">
        <v>644</v>
      </c>
      <c r="P234" s="16" t="s">
        <v>604</v>
      </c>
      <c r="Q234" s="16" t="s">
        <v>607</v>
      </c>
      <c r="R234" s="16" t="s">
        <v>615</v>
      </c>
      <c r="S234" s="16" t="s">
        <v>617</v>
      </c>
      <c r="T234" s="16" t="s">
        <v>645</v>
      </c>
      <c r="U234" s="16" t="s">
        <v>55</v>
      </c>
    </row>
    <row r="235" spans="1:21" x14ac:dyDescent="0.25">
      <c r="A235" s="16" t="s">
        <v>731</v>
      </c>
      <c r="B235" s="55" t="s">
        <v>144</v>
      </c>
      <c r="C235" s="16" t="s">
        <v>732</v>
      </c>
      <c r="D235" s="16">
        <v>0.5</v>
      </c>
      <c r="E235" s="16" t="s">
        <v>91</v>
      </c>
      <c r="F235" s="16" t="s">
        <v>23</v>
      </c>
      <c r="G235" s="17">
        <v>0.67</v>
      </c>
      <c r="H235" s="16" t="s">
        <v>646</v>
      </c>
      <c r="I235" s="16" t="s">
        <v>90</v>
      </c>
      <c r="J235" s="16" t="s">
        <v>105</v>
      </c>
      <c r="K235" s="16" t="s">
        <v>16</v>
      </c>
      <c r="L235" s="16" t="s">
        <v>668</v>
      </c>
      <c r="M235" s="16" t="s">
        <v>653</v>
      </c>
      <c r="N235" s="18" t="s">
        <v>598</v>
      </c>
      <c r="O235" s="16" t="s">
        <v>644</v>
      </c>
      <c r="P235" s="16" t="s">
        <v>604</v>
      </c>
      <c r="Q235" s="16" t="s">
        <v>607</v>
      </c>
      <c r="R235" s="16" t="s">
        <v>615</v>
      </c>
      <c r="S235" s="16" t="s">
        <v>617</v>
      </c>
      <c r="T235" s="16" t="s">
        <v>645</v>
      </c>
      <c r="U235" s="16" t="s">
        <v>55</v>
      </c>
    </row>
    <row r="236" spans="1:21" x14ac:dyDescent="0.25">
      <c r="A236" s="16" t="s">
        <v>731</v>
      </c>
      <c r="B236" s="55" t="s">
        <v>144</v>
      </c>
      <c r="C236" s="16" t="s">
        <v>732</v>
      </c>
      <c r="D236" s="16">
        <v>0.5</v>
      </c>
      <c r="E236" s="16" t="s">
        <v>91</v>
      </c>
      <c r="F236" s="16" t="s">
        <v>24</v>
      </c>
      <c r="G236" s="17">
        <v>0.33</v>
      </c>
      <c r="H236" s="16" t="s">
        <v>667</v>
      </c>
      <c r="I236" s="16" t="s">
        <v>90</v>
      </c>
      <c r="J236" s="16" t="s">
        <v>105</v>
      </c>
      <c r="K236" s="16" t="s">
        <v>16</v>
      </c>
      <c r="L236" s="18" t="s">
        <v>665</v>
      </c>
      <c r="M236" s="16" t="s">
        <v>653</v>
      </c>
      <c r="N236" s="16" t="s">
        <v>597</v>
      </c>
      <c r="O236" s="16" t="s">
        <v>644</v>
      </c>
      <c r="P236" s="16" t="s">
        <v>604</v>
      </c>
      <c r="Q236" s="16" t="s">
        <v>607</v>
      </c>
      <c r="R236" s="16" t="s">
        <v>615</v>
      </c>
      <c r="S236" s="16" t="s">
        <v>617</v>
      </c>
      <c r="T236" s="16" t="s">
        <v>645</v>
      </c>
      <c r="U236" s="16" t="s">
        <v>55</v>
      </c>
    </row>
    <row r="237" spans="1:21" x14ac:dyDescent="0.25">
      <c r="A237" s="16" t="s">
        <v>731</v>
      </c>
      <c r="B237" s="55" t="s">
        <v>144</v>
      </c>
      <c r="C237" s="16" t="s">
        <v>732</v>
      </c>
      <c r="D237" s="16">
        <v>0.5</v>
      </c>
      <c r="E237" s="16" t="s">
        <v>91</v>
      </c>
      <c r="F237" s="16" t="s">
        <v>25</v>
      </c>
      <c r="G237" s="17">
        <v>0.67</v>
      </c>
      <c r="H237" s="16" t="s">
        <v>655</v>
      </c>
      <c r="I237" s="16" t="s">
        <v>90</v>
      </c>
      <c r="J237" s="16" t="s">
        <v>105</v>
      </c>
      <c r="K237" s="16" t="s">
        <v>16</v>
      </c>
      <c r="L237" s="16" t="s">
        <v>668</v>
      </c>
      <c r="M237" s="18" t="s">
        <v>599</v>
      </c>
      <c r="N237" s="16" t="s">
        <v>597</v>
      </c>
      <c r="O237" s="16" t="s">
        <v>644</v>
      </c>
      <c r="P237" s="16" t="s">
        <v>604</v>
      </c>
      <c r="Q237" s="16" t="s">
        <v>607</v>
      </c>
      <c r="R237" s="16" t="s">
        <v>615</v>
      </c>
      <c r="S237" s="16" t="s">
        <v>617</v>
      </c>
      <c r="T237" s="16" t="s">
        <v>645</v>
      </c>
      <c r="U237" s="16" t="s">
        <v>55</v>
      </c>
    </row>
    <row r="238" spans="1:21" x14ac:dyDescent="0.25">
      <c r="A238" s="16" t="s">
        <v>731</v>
      </c>
      <c r="B238" s="55" t="s">
        <v>144</v>
      </c>
      <c r="C238" s="16" t="s">
        <v>732</v>
      </c>
      <c r="D238" s="16"/>
      <c r="E238" s="16"/>
      <c r="F238" s="16" t="s">
        <v>36</v>
      </c>
      <c r="G238" s="17">
        <v>0.33</v>
      </c>
      <c r="H238" s="16" t="s">
        <v>654</v>
      </c>
      <c r="I238" s="16" t="s">
        <v>90</v>
      </c>
      <c r="J238" s="16" t="s">
        <v>105</v>
      </c>
      <c r="K238" s="16" t="s">
        <v>16</v>
      </c>
      <c r="L238" s="16" t="s">
        <v>668</v>
      </c>
      <c r="M238" s="16" t="s">
        <v>600</v>
      </c>
      <c r="N238" s="16" t="s">
        <v>597</v>
      </c>
      <c r="O238" s="18" t="s">
        <v>644</v>
      </c>
      <c r="P238" s="16" t="s">
        <v>604</v>
      </c>
      <c r="Q238" s="16" t="s">
        <v>607</v>
      </c>
      <c r="R238" s="16" t="s">
        <v>615</v>
      </c>
      <c r="S238" s="16" t="s">
        <v>617</v>
      </c>
      <c r="T238" s="16" t="s">
        <v>645</v>
      </c>
      <c r="U238" s="16" t="s">
        <v>55</v>
      </c>
    </row>
    <row r="239" spans="1:21" x14ac:dyDescent="0.25">
      <c r="A239" s="16" t="s">
        <v>731</v>
      </c>
      <c r="B239" s="55" t="s">
        <v>144</v>
      </c>
      <c r="C239" s="16" t="s">
        <v>732</v>
      </c>
      <c r="D239" s="16">
        <v>0.5</v>
      </c>
      <c r="E239" s="16" t="s">
        <v>91</v>
      </c>
      <c r="F239" s="16" t="s">
        <v>37</v>
      </c>
      <c r="G239" s="17">
        <v>0.67</v>
      </c>
      <c r="H239" s="16" t="s">
        <v>657</v>
      </c>
      <c r="I239" s="16" t="s">
        <v>90</v>
      </c>
      <c r="J239" s="16" t="s">
        <v>105</v>
      </c>
      <c r="K239" s="16" t="s">
        <v>16</v>
      </c>
      <c r="L239" s="16" t="s">
        <v>668</v>
      </c>
      <c r="M239" s="16" t="s">
        <v>653</v>
      </c>
      <c r="N239" s="16" t="s">
        <v>597</v>
      </c>
      <c r="O239" s="18" t="s">
        <v>643</v>
      </c>
      <c r="P239" s="16" t="s">
        <v>604</v>
      </c>
      <c r="Q239" s="16" t="s">
        <v>607</v>
      </c>
      <c r="R239" s="16" t="s">
        <v>615</v>
      </c>
      <c r="S239" s="16" t="s">
        <v>617</v>
      </c>
      <c r="T239" s="16" t="s">
        <v>645</v>
      </c>
      <c r="U239" s="16" t="s">
        <v>55</v>
      </c>
    </row>
    <row r="240" spans="1:21" x14ac:dyDescent="0.25">
      <c r="A240" s="16" t="s">
        <v>731</v>
      </c>
      <c r="B240" s="55" t="s">
        <v>144</v>
      </c>
      <c r="C240" s="16" t="s">
        <v>732</v>
      </c>
      <c r="D240" s="16">
        <v>0.5</v>
      </c>
      <c r="E240" s="16" t="s">
        <v>91</v>
      </c>
      <c r="F240" s="16" t="s">
        <v>38</v>
      </c>
      <c r="G240" s="17">
        <v>0.5</v>
      </c>
      <c r="H240" s="16" t="s">
        <v>603</v>
      </c>
      <c r="I240" s="16" t="s">
        <v>90</v>
      </c>
      <c r="J240" s="16" t="s">
        <v>105</v>
      </c>
      <c r="K240" s="16" t="s">
        <v>16</v>
      </c>
      <c r="L240" s="16" t="s">
        <v>668</v>
      </c>
      <c r="M240" s="16" t="s">
        <v>653</v>
      </c>
      <c r="N240" s="16" t="s">
        <v>597</v>
      </c>
      <c r="O240" s="18" t="s">
        <v>656</v>
      </c>
      <c r="P240" s="16" t="s">
        <v>604</v>
      </c>
      <c r="Q240" s="16" t="s">
        <v>607</v>
      </c>
      <c r="R240" s="16" t="s">
        <v>615</v>
      </c>
      <c r="S240" s="16" t="s">
        <v>617</v>
      </c>
      <c r="T240" s="16" t="s">
        <v>645</v>
      </c>
      <c r="U240" s="16" t="s">
        <v>55</v>
      </c>
    </row>
    <row r="241" spans="1:21" x14ac:dyDescent="0.25">
      <c r="A241" s="16" t="s">
        <v>731</v>
      </c>
      <c r="B241" s="55" t="s">
        <v>144</v>
      </c>
      <c r="C241" s="16" t="s">
        <v>732</v>
      </c>
      <c r="D241" s="16">
        <v>0.5</v>
      </c>
      <c r="E241" s="16" t="s">
        <v>91</v>
      </c>
      <c r="F241" s="16" t="s">
        <v>64</v>
      </c>
      <c r="G241" s="17">
        <v>0.25</v>
      </c>
      <c r="H241" s="16" t="s">
        <v>660</v>
      </c>
      <c r="I241" s="16" t="s">
        <v>90</v>
      </c>
      <c r="J241" s="16" t="s">
        <v>105</v>
      </c>
      <c r="K241" s="16" t="s">
        <v>16</v>
      </c>
      <c r="L241" s="16" t="s">
        <v>668</v>
      </c>
      <c r="M241" s="16" t="s">
        <v>653</v>
      </c>
      <c r="N241" s="16" t="s">
        <v>597</v>
      </c>
      <c r="O241" s="16" t="s">
        <v>661</v>
      </c>
      <c r="P241" s="18" t="s">
        <v>604</v>
      </c>
      <c r="Q241" s="16" t="s">
        <v>607</v>
      </c>
      <c r="R241" s="16" t="s">
        <v>615</v>
      </c>
      <c r="S241" s="16" t="s">
        <v>617</v>
      </c>
      <c r="T241" s="16" t="s">
        <v>645</v>
      </c>
      <c r="U241" s="16" t="s">
        <v>55</v>
      </c>
    </row>
    <row r="242" spans="1:21" x14ac:dyDescent="0.25">
      <c r="A242" s="16" t="s">
        <v>731</v>
      </c>
      <c r="B242" s="55" t="s">
        <v>144</v>
      </c>
      <c r="C242" s="16" t="s">
        <v>732</v>
      </c>
      <c r="D242" s="16">
        <v>0.5</v>
      </c>
      <c r="E242" s="16" t="s">
        <v>91</v>
      </c>
      <c r="F242" s="16" t="s">
        <v>111</v>
      </c>
      <c r="G242" s="17">
        <v>0.5</v>
      </c>
      <c r="H242" s="16" t="s">
        <v>606</v>
      </c>
      <c r="I242" s="16" t="s">
        <v>90</v>
      </c>
      <c r="J242" s="16" t="s">
        <v>105</v>
      </c>
      <c r="K242" s="16" t="s">
        <v>16</v>
      </c>
      <c r="L242" s="16" t="s">
        <v>668</v>
      </c>
      <c r="M242" s="16" t="s">
        <v>653</v>
      </c>
      <c r="N242" s="16" t="s">
        <v>597</v>
      </c>
      <c r="O242" s="16" t="s">
        <v>644</v>
      </c>
      <c r="P242" s="16" t="s">
        <v>605</v>
      </c>
      <c r="Q242" s="18" t="s">
        <v>607</v>
      </c>
      <c r="R242" s="16" t="s">
        <v>615</v>
      </c>
      <c r="S242" s="16" t="s">
        <v>617</v>
      </c>
      <c r="T242" s="16" t="s">
        <v>645</v>
      </c>
      <c r="U242" s="16" t="s">
        <v>55</v>
      </c>
    </row>
    <row r="243" spans="1:21" x14ac:dyDescent="0.25">
      <c r="A243" s="16" t="s">
        <v>731</v>
      </c>
      <c r="B243" s="55" t="s">
        <v>144</v>
      </c>
      <c r="C243" s="16" t="s">
        <v>732</v>
      </c>
      <c r="D243" s="16">
        <v>0.5</v>
      </c>
      <c r="E243" s="16" t="s">
        <v>91</v>
      </c>
      <c r="F243" s="16" t="s">
        <v>123</v>
      </c>
      <c r="G243" s="17">
        <v>0.1</v>
      </c>
      <c r="H243" s="16" t="s">
        <v>608</v>
      </c>
      <c r="I243" s="16" t="s">
        <v>90</v>
      </c>
      <c r="J243" s="16" t="s">
        <v>105</v>
      </c>
      <c r="K243" s="16" t="s">
        <v>16</v>
      </c>
      <c r="L243" s="16" t="s">
        <v>668</v>
      </c>
      <c r="M243" s="16" t="s">
        <v>653</v>
      </c>
      <c r="N243" s="16" t="s">
        <v>597</v>
      </c>
      <c r="O243" s="16" t="s">
        <v>644</v>
      </c>
      <c r="P243" s="16" t="s">
        <v>604</v>
      </c>
      <c r="Q243" s="16" t="s">
        <v>609</v>
      </c>
      <c r="R243" s="18" t="s">
        <v>615</v>
      </c>
      <c r="S243" s="16" t="s">
        <v>617</v>
      </c>
      <c r="T243" s="16" t="s">
        <v>645</v>
      </c>
      <c r="U243" s="16" t="s">
        <v>55</v>
      </c>
    </row>
    <row r="244" spans="1:21" x14ac:dyDescent="0.25">
      <c r="A244" s="16" t="s">
        <v>731</v>
      </c>
      <c r="B244" s="55" t="s">
        <v>144</v>
      </c>
      <c r="C244" s="16" t="s">
        <v>732</v>
      </c>
      <c r="D244" s="16">
        <v>0.5</v>
      </c>
      <c r="E244" s="16" t="s">
        <v>91</v>
      </c>
      <c r="F244" s="16" t="s">
        <v>595</v>
      </c>
      <c r="G244" s="17">
        <v>0.75</v>
      </c>
      <c r="H244" s="16" t="s">
        <v>614</v>
      </c>
      <c r="I244" s="16" t="s">
        <v>90</v>
      </c>
      <c r="J244" s="16" t="s">
        <v>105</v>
      </c>
      <c r="K244" s="16" t="s">
        <v>16</v>
      </c>
      <c r="L244" s="16" t="s">
        <v>668</v>
      </c>
      <c r="M244" s="16" t="s">
        <v>653</v>
      </c>
      <c r="N244" s="16" t="s">
        <v>597</v>
      </c>
      <c r="O244" s="16" t="s">
        <v>644</v>
      </c>
      <c r="P244" s="16" t="s">
        <v>604</v>
      </c>
      <c r="Q244" s="16" t="s">
        <v>607</v>
      </c>
      <c r="R244" s="16" t="s">
        <v>616</v>
      </c>
      <c r="S244" s="18" t="s">
        <v>617</v>
      </c>
      <c r="T244" s="16" t="s">
        <v>645</v>
      </c>
      <c r="U244" s="16" t="s">
        <v>55</v>
      </c>
    </row>
    <row r="245" spans="1:21" x14ac:dyDescent="0.25">
      <c r="A245" s="16" t="s">
        <v>731</v>
      </c>
      <c r="B245" s="55" t="s">
        <v>144</v>
      </c>
      <c r="C245" s="16" t="s">
        <v>732</v>
      </c>
      <c r="D245" s="16">
        <v>0.5</v>
      </c>
      <c r="E245" s="16" t="s">
        <v>91</v>
      </c>
      <c r="F245" s="16" t="s">
        <v>596</v>
      </c>
      <c r="G245" s="17">
        <v>0.1</v>
      </c>
      <c r="H245" s="16" t="s">
        <v>618</v>
      </c>
      <c r="I245" s="16" t="s">
        <v>90</v>
      </c>
      <c r="J245" s="16" t="s">
        <v>105</v>
      </c>
      <c r="K245" s="16" t="s">
        <v>16</v>
      </c>
      <c r="L245" s="16" t="s">
        <v>668</v>
      </c>
      <c r="M245" s="16" t="s">
        <v>653</v>
      </c>
      <c r="N245" s="16" t="s">
        <v>597</v>
      </c>
      <c r="O245" s="16" t="s">
        <v>644</v>
      </c>
      <c r="P245" s="16" t="s">
        <v>604</v>
      </c>
      <c r="Q245" s="16" t="s">
        <v>607</v>
      </c>
      <c r="R245" s="16" t="s">
        <v>615</v>
      </c>
      <c r="S245" s="16" t="s">
        <v>619</v>
      </c>
      <c r="T245" s="18" t="s">
        <v>645</v>
      </c>
      <c r="U245" s="16" t="s">
        <v>55</v>
      </c>
    </row>
    <row r="246" spans="1:21" x14ac:dyDescent="0.25">
      <c r="A246" s="16" t="s">
        <v>731</v>
      </c>
      <c r="B246" s="55" t="s">
        <v>144</v>
      </c>
      <c r="C246" s="16" t="s">
        <v>732</v>
      </c>
      <c r="D246" s="16">
        <v>0.5</v>
      </c>
      <c r="E246" s="16" t="s">
        <v>91</v>
      </c>
      <c r="F246" s="16" t="s">
        <v>613</v>
      </c>
      <c r="G246" s="17">
        <v>0.67</v>
      </c>
      <c r="H246" s="16" t="s">
        <v>662</v>
      </c>
      <c r="I246" s="16" t="s">
        <v>90</v>
      </c>
      <c r="J246" s="16" t="s">
        <v>105</v>
      </c>
      <c r="K246" s="16" t="s">
        <v>16</v>
      </c>
      <c r="L246" s="16" t="s">
        <v>668</v>
      </c>
      <c r="M246" s="16" t="s">
        <v>653</v>
      </c>
      <c r="N246" s="16" t="s">
        <v>597</v>
      </c>
      <c r="O246" s="16" t="s">
        <v>644</v>
      </c>
      <c r="P246" s="16" t="s">
        <v>604</v>
      </c>
      <c r="Q246" s="16" t="s">
        <v>607</v>
      </c>
      <c r="R246" s="16" t="s">
        <v>615</v>
      </c>
      <c r="S246" s="16" t="s">
        <v>617</v>
      </c>
      <c r="T246" s="18" t="s">
        <v>620</v>
      </c>
      <c r="U246" s="16" t="s">
        <v>55</v>
      </c>
    </row>
    <row r="247" spans="1:21" x14ac:dyDescent="0.25">
      <c r="A247" s="16" t="s">
        <v>731</v>
      </c>
      <c r="B247" s="55" t="s">
        <v>144</v>
      </c>
      <c r="C247" s="16" t="s">
        <v>732</v>
      </c>
      <c r="D247" s="16">
        <v>0.5</v>
      </c>
      <c r="E247" s="16" t="s">
        <v>91</v>
      </c>
      <c r="F247" s="16" t="s">
        <v>648</v>
      </c>
      <c r="G247" s="17">
        <v>0.33</v>
      </c>
      <c r="H247" s="16" t="s">
        <v>621</v>
      </c>
      <c r="I247" s="16" t="s">
        <v>90</v>
      </c>
      <c r="J247" s="16" t="s">
        <v>105</v>
      </c>
      <c r="K247" s="16" t="s">
        <v>16</v>
      </c>
      <c r="L247" s="16" t="s">
        <v>668</v>
      </c>
      <c r="M247" s="16" t="s">
        <v>653</v>
      </c>
      <c r="N247" s="16" t="s">
        <v>597</v>
      </c>
      <c r="O247" s="16" t="s">
        <v>644</v>
      </c>
      <c r="P247" s="16" t="s">
        <v>604</v>
      </c>
      <c r="Q247" s="16" t="s">
        <v>607</v>
      </c>
      <c r="R247" s="16" t="s">
        <v>615</v>
      </c>
      <c r="S247" s="16" t="s">
        <v>617</v>
      </c>
      <c r="T247" s="16" t="s">
        <v>663</v>
      </c>
      <c r="U247" s="18" t="s">
        <v>55</v>
      </c>
    </row>
    <row r="248" spans="1:21" s="51" customFormat="1" x14ac:dyDescent="0.25">
      <c r="A248" s="16" t="s">
        <v>731</v>
      </c>
      <c r="B248" s="55" t="s">
        <v>144</v>
      </c>
      <c r="C248" s="16" t="s">
        <v>732</v>
      </c>
      <c r="E248" s="57"/>
      <c r="F248" s="58" t="s">
        <v>658</v>
      </c>
      <c r="G248" s="53">
        <v>0.25</v>
      </c>
      <c r="H248" s="53" t="s">
        <v>622</v>
      </c>
      <c r="I248" s="51" t="s">
        <v>90</v>
      </c>
      <c r="J248" s="51" t="s">
        <v>105</v>
      </c>
      <c r="K248" s="51" t="s">
        <v>16</v>
      </c>
      <c r="L248" s="51" t="s">
        <v>668</v>
      </c>
      <c r="M248" s="51" t="s">
        <v>653</v>
      </c>
      <c r="N248" s="51" t="s">
        <v>597</v>
      </c>
      <c r="O248" s="51" t="s">
        <v>644</v>
      </c>
      <c r="P248" s="51" t="s">
        <v>604</v>
      </c>
      <c r="Q248" s="51" t="s">
        <v>607</v>
      </c>
      <c r="R248" s="51" t="s">
        <v>615</v>
      </c>
      <c r="S248" s="51" t="s">
        <v>617</v>
      </c>
      <c r="T248" s="51" t="s">
        <v>645</v>
      </c>
      <c r="U248" s="51" t="s">
        <v>568</v>
      </c>
    </row>
    <row r="249" spans="1:21" x14ac:dyDescent="0.25">
      <c r="A249" s="19" t="s">
        <v>733</v>
      </c>
      <c r="B249" s="56" t="s">
        <v>636</v>
      </c>
      <c r="C249" s="19" t="s">
        <v>734</v>
      </c>
      <c r="D249" s="19">
        <v>0.5</v>
      </c>
      <c r="E249" s="19" t="s">
        <v>91</v>
      </c>
      <c r="F249" s="19" t="s">
        <v>18</v>
      </c>
      <c r="G249" s="20">
        <v>1</v>
      </c>
      <c r="H249" s="19" t="s">
        <v>652</v>
      </c>
      <c r="I249" s="19" t="s">
        <v>90</v>
      </c>
      <c r="J249" s="19" t="s">
        <v>105</v>
      </c>
      <c r="K249" s="19" t="s">
        <v>16</v>
      </c>
      <c r="L249" s="19" t="s">
        <v>703</v>
      </c>
      <c r="M249" s="19" t="s">
        <v>599</v>
      </c>
      <c r="N249" s="19" t="s">
        <v>598</v>
      </c>
      <c r="O249" s="19" t="s">
        <v>644</v>
      </c>
      <c r="P249" s="19" t="s">
        <v>604</v>
      </c>
      <c r="Q249" s="19" t="s">
        <v>607</v>
      </c>
      <c r="R249" s="19" t="s">
        <v>615</v>
      </c>
      <c r="S249" s="19" t="s">
        <v>617</v>
      </c>
      <c r="T249" s="19" t="s">
        <v>645</v>
      </c>
      <c r="U249" s="19" t="s">
        <v>55</v>
      </c>
    </row>
    <row r="250" spans="1:21" x14ac:dyDescent="0.25">
      <c r="A250" s="19" t="s">
        <v>733</v>
      </c>
      <c r="B250" s="56" t="s">
        <v>636</v>
      </c>
      <c r="C250" s="19" t="s">
        <v>734</v>
      </c>
      <c r="D250" s="19">
        <v>0.5</v>
      </c>
      <c r="E250" s="19" t="s">
        <v>91</v>
      </c>
      <c r="F250" s="19" t="s">
        <v>21</v>
      </c>
      <c r="G250" s="20">
        <v>0.5</v>
      </c>
      <c r="H250" s="19" t="s">
        <v>30</v>
      </c>
      <c r="I250" s="19" t="s">
        <v>90</v>
      </c>
      <c r="J250" s="19" t="s">
        <v>105</v>
      </c>
      <c r="K250" s="19" t="s">
        <v>28</v>
      </c>
      <c r="L250" s="19" t="s">
        <v>703</v>
      </c>
      <c r="M250" s="19" t="s">
        <v>599</v>
      </c>
      <c r="N250" s="19" t="s">
        <v>598</v>
      </c>
      <c r="O250" s="19" t="s">
        <v>644</v>
      </c>
      <c r="P250" s="19" t="s">
        <v>604</v>
      </c>
      <c r="Q250" s="19" t="s">
        <v>607</v>
      </c>
      <c r="R250" s="19" t="s">
        <v>615</v>
      </c>
      <c r="S250" s="19" t="s">
        <v>617</v>
      </c>
      <c r="T250" s="19" t="s">
        <v>645</v>
      </c>
      <c r="U250" s="19" t="s">
        <v>55</v>
      </c>
    </row>
    <row r="251" spans="1:21" x14ac:dyDescent="0.25">
      <c r="A251" s="19" t="s">
        <v>733</v>
      </c>
      <c r="B251" s="56" t="s">
        <v>636</v>
      </c>
      <c r="C251" s="19" t="s">
        <v>734</v>
      </c>
      <c r="D251" s="19">
        <v>0.5</v>
      </c>
      <c r="E251" s="19" t="s">
        <v>91</v>
      </c>
      <c r="F251" s="19" t="s">
        <v>22</v>
      </c>
      <c r="G251" s="20">
        <v>0.25</v>
      </c>
      <c r="H251" s="19" t="s">
        <v>31</v>
      </c>
      <c r="I251" s="19" t="s">
        <v>90</v>
      </c>
      <c r="J251" s="19" t="s">
        <v>105</v>
      </c>
      <c r="K251" s="19" t="s">
        <v>29</v>
      </c>
      <c r="L251" s="19" t="s">
        <v>703</v>
      </c>
      <c r="M251" s="19" t="s">
        <v>599</v>
      </c>
      <c r="N251" s="19" t="s">
        <v>598</v>
      </c>
      <c r="O251" s="19" t="s">
        <v>644</v>
      </c>
      <c r="P251" s="19" t="s">
        <v>604</v>
      </c>
      <c r="Q251" s="19" t="s">
        <v>607</v>
      </c>
      <c r="R251" s="19" t="s">
        <v>615</v>
      </c>
      <c r="S251" s="19" t="s">
        <v>617</v>
      </c>
      <c r="T251" s="19" t="s">
        <v>645</v>
      </c>
      <c r="U251" s="19" t="s">
        <v>55</v>
      </c>
    </row>
    <row r="252" spans="1:21" x14ac:dyDescent="0.25">
      <c r="A252" s="19" t="s">
        <v>733</v>
      </c>
      <c r="B252" s="56" t="s">
        <v>636</v>
      </c>
      <c r="C252" s="19" t="s">
        <v>734</v>
      </c>
      <c r="D252" s="19">
        <v>0.5</v>
      </c>
      <c r="E252" s="19" t="s">
        <v>91</v>
      </c>
      <c r="F252" s="19" t="s">
        <v>23</v>
      </c>
      <c r="G252" s="20">
        <v>0.5</v>
      </c>
      <c r="H252" s="19" t="s">
        <v>729</v>
      </c>
      <c r="I252" s="19" t="s">
        <v>90</v>
      </c>
      <c r="J252" s="19" t="s">
        <v>105</v>
      </c>
      <c r="K252" s="19" t="s">
        <v>16</v>
      </c>
      <c r="L252" s="19" t="s">
        <v>703</v>
      </c>
      <c r="M252" s="19" t="s">
        <v>599</v>
      </c>
      <c r="N252" s="21" t="s">
        <v>728</v>
      </c>
      <c r="O252" s="19" t="s">
        <v>644</v>
      </c>
      <c r="P252" s="19" t="s">
        <v>604</v>
      </c>
      <c r="Q252" s="19" t="s">
        <v>607</v>
      </c>
      <c r="R252" s="19" t="s">
        <v>615</v>
      </c>
      <c r="S252" s="19" t="s">
        <v>617</v>
      </c>
      <c r="T252" s="19" t="s">
        <v>645</v>
      </c>
      <c r="U252" s="19" t="s">
        <v>55</v>
      </c>
    </row>
    <row r="253" spans="1:21" x14ac:dyDescent="0.25">
      <c r="A253" s="19" t="s">
        <v>733</v>
      </c>
      <c r="B253" s="56" t="s">
        <v>636</v>
      </c>
      <c r="C253" s="19" t="s">
        <v>734</v>
      </c>
      <c r="D253" s="19">
        <v>0.5</v>
      </c>
      <c r="E253" s="19" t="s">
        <v>91</v>
      </c>
      <c r="F253" s="19" t="s">
        <v>24</v>
      </c>
      <c r="G253" s="20">
        <v>0.67</v>
      </c>
      <c r="H253" s="19" t="s">
        <v>727</v>
      </c>
      <c r="I253" s="19" t="s">
        <v>90</v>
      </c>
      <c r="J253" s="19" t="s">
        <v>105</v>
      </c>
      <c r="K253" s="19" t="s">
        <v>16</v>
      </c>
      <c r="L253" s="21" t="s">
        <v>668</v>
      </c>
      <c r="M253" s="19" t="s">
        <v>599</v>
      </c>
      <c r="N253" s="19" t="s">
        <v>598</v>
      </c>
      <c r="O253" s="19" t="s">
        <v>644</v>
      </c>
      <c r="P253" s="19" t="s">
        <v>604</v>
      </c>
      <c r="Q253" s="19" t="s">
        <v>607</v>
      </c>
      <c r="R253" s="19" t="s">
        <v>615</v>
      </c>
      <c r="S253" s="19" t="s">
        <v>617</v>
      </c>
      <c r="T253" s="19" t="s">
        <v>645</v>
      </c>
      <c r="U253" s="19" t="s">
        <v>55</v>
      </c>
    </row>
    <row r="254" spans="1:21" x14ac:dyDescent="0.25">
      <c r="A254" s="19" t="s">
        <v>733</v>
      </c>
      <c r="B254" s="56" t="s">
        <v>636</v>
      </c>
      <c r="C254" s="19" t="s">
        <v>734</v>
      </c>
      <c r="D254" s="19">
        <v>0.5</v>
      </c>
      <c r="E254" s="19" t="s">
        <v>91</v>
      </c>
      <c r="F254" s="19" t="s">
        <v>25</v>
      </c>
      <c r="G254" s="20">
        <v>0.33</v>
      </c>
      <c r="H254" s="19" t="s">
        <v>602</v>
      </c>
      <c r="I254" s="19" t="s">
        <v>90</v>
      </c>
      <c r="J254" s="19" t="s">
        <v>105</v>
      </c>
      <c r="K254" s="19" t="s">
        <v>16</v>
      </c>
      <c r="L254" s="19" t="s">
        <v>703</v>
      </c>
      <c r="M254" s="21" t="s">
        <v>600</v>
      </c>
      <c r="N254" s="19" t="s">
        <v>598</v>
      </c>
      <c r="O254" s="19" t="s">
        <v>644</v>
      </c>
      <c r="P254" s="19" t="s">
        <v>604</v>
      </c>
      <c r="Q254" s="19" t="s">
        <v>607</v>
      </c>
      <c r="R254" s="19" t="s">
        <v>615</v>
      </c>
      <c r="S254" s="19" t="s">
        <v>617</v>
      </c>
      <c r="T254" s="19" t="s">
        <v>645</v>
      </c>
      <c r="U254" s="19" t="s">
        <v>55</v>
      </c>
    </row>
    <row r="255" spans="1:21" x14ac:dyDescent="0.25">
      <c r="A255" s="19" t="s">
        <v>733</v>
      </c>
      <c r="B255" s="56" t="s">
        <v>636</v>
      </c>
      <c r="C255" s="19" t="s">
        <v>734</v>
      </c>
      <c r="D255" s="19"/>
      <c r="E255" s="19"/>
      <c r="F255" s="19" t="s">
        <v>36</v>
      </c>
      <c r="G255" s="20">
        <v>0.9</v>
      </c>
      <c r="H255" s="19" t="s">
        <v>657</v>
      </c>
      <c r="I255" s="19" t="s">
        <v>90</v>
      </c>
      <c r="J255" s="19" t="s">
        <v>105</v>
      </c>
      <c r="K255" s="19" t="s">
        <v>16</v>
      </c>
      <c r="L255" s="19" t="s">
        <v>703</v>
      </c>
      <c r="M255" s="19" t="s">
        <v>599</v>
      </c>
      <c r="N255" s="19" t="s">
        <v>598</v>
      </c>
      <c r="O255" s="21" t="s">
        <v>643</v>
      </c>
      <c r="P255" s="19" t="s">
        <v>604</v>
      </c>
      <c r="Q255" s="19" t="s">
        <v>607</v>
      </c>
      <c r="R255" s="19" t="s">
        <v>615</v>
      </c>
      <c r="S255" s="19" t="s">
        <v>617</v>
      </c>
      <c r="T255" s="19" t="s">
        <v>645</v>
      </c>
      <c r="U255" s="19" t="s">
        <v>55</v>
      </c>
    </row>
    <row r="256" spans="1:21" x14ac:dyDescent="0.25">
      <c r="A256" s="19" t="s">
        <v>733</v>
      </c>
      <c r="B256" s="56" t="s">
        <v>636</v>
      </c>
      <c r="C256" s="19" t="s">
        <v>734</v>
      </c>
      <c r="D256" s="19">
        <v>0.5</v>
      </c>
      <c r="E256" s="19" t="s">
        <v>91</v>
      </c>
      <c r="F256" s="19" t="s">
        <v>37</v>
      </c>
      <c r="G256" s="20">
        <v>0.66</v>
      </c>
      <c r="H256" s="19" t="s">
        <v>603</v>
      </c>
      <c r="I256" s="19" t="s">
        <v>90</v>
      </c>
      <c r="J256" s="19" t="s">
        <v>105</v>
      </c>
      <c r="K256" s="19" t="s">
        <v>16</v>
      </c>
      <c r="L256" s="19" t="s">
        <v>703</v>
      </c>
      <c r="M256" s="19" t="s">
        <v>599</v>
      </c>
      <c r="N256" s="19" t="s">
        <v>598</v>
      </c>
      <c r="O256" s="21" t="s">
        <v>656</v>
      </c>
      <c r="P256" s="19" t="s">
        <v>604</v>
      </c>
      <c r="Q256" s="19" t="s">
        <v>607</v>
      </c>
      <c r="R256" s="19" t="s">
        <v>615</v>
      </c>
      <c r="S256" s="19" t="s">
        <v>617</v>
      </c>
      <c r="T256" s="19" t="s">
        <v>645</v>
      </c>
      <c r="U256" s="19" t="s">
        <v>55</v>
      </c>
    </row>
    <row r="257" spans="1:21" x14ac:dyDescent="0.25">
      <c r="A257" s="19" t="s">
        <v>733</v>
      </c>
      <c r="B257" s="56" t="s">
        <v>636</v>
      </c>
      <c r="C257" s="19" t="s">
        <v>734</v>
      </c>
      <c r="D257" s="19">
        <v>0.5</v>
      </c>
      <c r="E257" s="19" t="s">
        <v>91</v>
      </c>
      <c r="F257" s="19" t="s">
        <v>38</v>
      </c>
      <c r="G257" s="20">
        <v>0.5</v>
      </c>
      <c r="H257" s="19" t="s">
        <v>660</v>
      </c>
      <c r="I257" s="19" t="s">
        <v>90</v>
      </c>
      <c r="J257" s="19" t="s">
        <v>105</v>
      </c>
      <c r="K257" s="19" t="s">
        <v>16</v>
      </c>
      <c r="L257" s="19" t="s">
        <v>703</v>
      </c>
      <c r="M257" s="19" t="s">
        <v>599</v>
      </c>
      <c r="N257" s="19" t="s">
        <v>598</v>
      </c>
      <c r="O257" s="21" t="s">
        <v>661</v>
      </c>
      <c r="P257" s="19" t="s">
        <v>604</v>
      </c>
      <c r="Q257" s="19" t="s">
        <v>607</v>
      </c>
      <c r="R257" s="19" t="s">
        <v>615</v>
      </c>
      <c r="S257" s="19" t="s">
        <v>617</v>
      </c>
      <c r="T257" s="19" t="s">
        <v>645</v>
      </c>
      <c r="U257" s="19" t="s">
        <v>55</v>
      </c>
    </row>
    <row r="258" spans="1:21" x14ac:dyDescent="0.25">
      <c r="A258" s="19" t="s">
        <v>733</v>
      </c>
      <c r="B258" s="56" t="s">
        <v>636</v>
      </c>
      <c r="C258" s="19" t="s">
        <v>734</v>
      </c>
      <c r="D258" s="19">
        <v>0.5</v>
      </c>
      <c r="E258" s="19" t="s">
        <v>91</v>
      </c>
      <c r="F258" s="19" t="s">
        <v>64</v>
      </c>
      <c r="G258" s="20">
        <v>0.5</v>
      </c>
      <c r="H258" s="19" t="s">
        <v>606</v>
      </c>
      <c r="I258" s="19" t="s">
        <v>90</v>
      </c>
      <c r="J258" s="19" t="s">
        <v>105</v>
      </c>
      <c r="K258" s="19" t="s">
        <v>16</v>
      </c>
      <c r="L258" s="19" t="s">
        <v>703</v>
      </c>
      <c r="M258" s="19" t="s">
        <v>599</v>
      </c>
      <c r="N258" s="19" t="s">
        <v>598</v>
      </c>
      <c r="O258" s="19" t="s">
        <v>644</v>
      </c>
      <c r="P258" s="21" t="s">
        <v>605</v>
      </c>
      <c r="Q258" s="19" t="s">
        <v>607</v>
      </c>
      <c r="R258" s="19" t="s">
        <v>615</v>
      </c>
      <c r="S258" s="19" t="s">
        <v>617</v>
      </c>
      <c r="T258" s="19" t="s">
        <v>645</v>
      </c>
      <c r="U258" s="19" t="s">
        <v>55</v>
      </c>
    </row>
    <row r="259" spans="1:21" x14ac:dyDescent="0.25">
      <c r="A259" s="19" t="s">
        <v>733</v>
      </c>
      <c r="B259" s="56" t="s">
        <v>636</v>
      </c>
      <c r="C259" s="19" t="s">
        <v>734</v>
      </c>
      <c r="D259" s="19">
        <v>0.5</v>
      </c>
      <c r="E259" s="19" t="s">
        <v>91</v>
      </c>
      <c r="F259" s="19" t="s">
        <v>111</v>
      </c>
      <c r="G259" s="20">
        <v>0.1</v>
      </c>
      <c r="H259" s="19" t="s">
        <v>608</v>
      </c>
      <c r="I259" s="19" t="s">
        <v>90</v>
      </c>
      <c r="J259" s="19" t="s">
        <v>105</v>
      </c>
      <c r="K259" s="19" t="s">
        <v>16</v>
      </c>
      <c r="L259" s="19" t="s">
        <v>703</v>
      </c>
      <c r="M259" s="19" t="s">
        <v>599</v>
      </c>
      <c r="N259" s="19" t="s">
        <v>598</v>
      </c>
      <c r="O259" s="19" t="s">
        <v>644</v>
      </c>
      <c r="P259" s="19" t="s">
        <v>604</v>
      </c>
      <c r="Q259" s="21" t="s">
        <v>609</v>
      </c>
      <c r="R259" s="19" t="s">
        <v>615</v>
      </c>
      <c r="S259" s="19" t="s">
        <v>617</v>
      </c>
      <c r="T259" s="19" t="s">
        <v>645</v>
      </c>
      <c r="U259" s="19" t="s">
        <v>55</v>
      </c>
    </row>
    <row r="260" spans="1:21" x14ac:dyDescent="0.25">
      <c r="A260" s="19" t="s">
        <v>733</v>
      </c>
      <c r="B260" s="56" t="s">
        <v>636</v>
      </c>
      <c r="C260" s="19" t="s">
        <v>734</v>
      </c>
      <c r="D260" s="19">
        <v>0.5</v>
      </c>
      <c r="E260" s="19" t="s">
        <v>91</v>
      </c>
      <c r="F260" s="19" t="s">
        <v>123</v>
      </c>
      <c r="G260" s="20">
        <v>0.75</v>
      </c>
      <c r="H260" s="19" t="s">
        <v>614</v>
      </c>
      <c r="I260" s="19" t="s">
        <v>90</v>
      </c>
      <c r="J260" s="19" t="s">
        <v>105</v>
      </c>
      <c r="K260" s="19" t="s">
        <v>16</v>
      </c>
      <c r="L260" s="19" t="s">
        <v>703</v>
      </c>
      <c r="M260" s="19" t="s">
        <v>599</v>
      </c>
      <c r="N260" s="19" t="s">
        <v>598</v>
      </c>
      <c r="O260" s="19" t="s">
        <v>644</v>
      </c>
      <c r="P260" s="19" t="s">
        <v>604</v>
      </c>
      <c r="Q260" s="19" t="s">
        <v>607</v>
      </c>
      <c r="R260" s="21" t="s">
        <v>616</v>
      </c>
      <c r="S260" s="19" t="s">
        <v>617</v>
      </c>
      <c r="T260" s="19" t="s">
        <v>645</v>
      </c>
      <c r="U260" s="19" t="s">
        <v>55</v>
      </c>
    </row>
    <row r="261" spans="1:21" x14ac:dyDescent="0.25">
      <c r="A261" s="19" t="s">
        <v>733</v>
      </c>
      <c r="B261" s="56" t="s">
        <v>636</v>
      </c>
      <c r="C261" s="19" t="s">
        <v>734</v>
      </c>
      <c r="D261" s="19">
        <v>0.5</v>
      </c>
      <c r="E261" s="19" t="s">
        <v>91</v>
      </c>
      <c r="F261" s="19" t="s">
        <v>595</v>
      </c>
      <c r="G261" s="20">
        <v>0.1</v>
      </c>
      <c r="H261" s="19" t="s">
        <v>618</v>
      </c>
      <c r="I261" s="19" t="s">
        <v>90</v>
      </c>
      <c r="J261" s="19" t="s">
        <v>105</v>
      </c>
      <c r="K261" s="19" t="s">
        <v>16</v>
      </c>
      <c r="L261" s="19" t="s">
        <v>703</v>
      </c>
      <c r="M261" s="19" t="s">
        <v>599</v>
      </c>
      <c r="N261" s="19" t="s">
        <v>598</v>
      </c>
      <c r="O261" s="19" t="s">
        <v>644</v>
      </c>
      <c r="P261" s="19" t="s">
        <v>604</v>
      </c>
      <c r="Q261" s="19" t="s">
        <v>607</v>
      </c>
      <c r="R261" s="19" t="s">
        <v>615</v>
      </c>
      <c r="S261" s="21" t="s">
        <v>619</v>
      </c>
      <c r="T261" s="19" t="s">
        <v>645</v>
      </c>
      <c r="U261" s="19" t="s">
        <v>55</v>
      </c>
    </row>
    <row r="262" spans="1:21" x14ac:dyDescent="0.25">
      <c r="A262" s="19" t="s">
        <v>733</v>
      </c>
      <c r="B262" s="56" t="s">
        <v>636</v>
      </c>
      <c r="C262" s="19" t="s">
        <v>734</v>
      </c>
      <c r="D262" s="19">
        <v>0.5</v>
      </c>
      <c r="E262" s="19" t="s">
        <v>91</v>
      </c>
      <c r="F262" s="19" t="s">
        <v>596</v>
      </c>
      <c r="G262" s="20">
        <v>0.8</v>
      </c>
      <c r="H262" s="19" t="s">
        <v>662</v>
      </c>
      <c r="I262" s="19" t="s">
        <v>90</v>
      </c>
      <c r="J262" s="19" t="s">
        <v>105</v>
      </c>
      <c r="K262" s="19" t="s">
        <v>16</v>
      </c>
      <c r="L262" s="19" t="s">
        <v>703</v>
      </c>
      <c r="M262" s="19" t="s">
        <v>599</v>
      </c>
      <c r="N262" s="19" t="s">
        <v>598</v>
      </c>
      <c r="O262" s="19" t="s">
        <v>644</v>
      </c>
      <c r="P262" s="19" t="s">
        <v>604</v>
      </c>
      <c r="Q262" s="19" t="s">
        <v>607</v>
      </c>
      <c r="R262" s="19" t="s">
        <v>615</v>
      </c>
      <c r="S262" s="19" t="s">
        <v>617</v>
      </c>
      <c r="T262" s="21" t="s">
        <v>620</v>
      </c>
      <c r="U262" s="19" t="s">
        <v>55</v>
      </c>
    </row>
    <row r="263" spans="1:21" x14ac:dyDescent="0.25">
      <c r="A263" s="19" t="s">
        <v>733</v>
      </c>
      <c r="B263" s="56" t="s">
        <v>636</v>
      </c>
      <c r="C263" s="19" t="s">
        <v>734</v>
      </c>
      <c r="D263" s="19">
        <v>0.5</v>
      </c>
      <c r="E263" s="19" t="s">
        <v>91</v>
      </c>
      <c r="F263" s="19" t="s">
        <v>613</v>
      </c>
      <c r="G263" s="20">
        <v>0.5</v>
      </c>
      <c r="H263" s="19" t="s">
        <v>621</v>
      </c>
      <c r="I263" s="19" t="s">
        <v>90</v>
      </c>
      <c r="J263" s="19" t="s">
        <v>105</v>
      </c>
      <c r="K263" s="19" t="s">
        <v>16</v>
      </c>
      <c r="L263" s="19" t="s">
        <v>703</v>
      </c>
      <c r="M263" s="19" t="s">
        <v>599</v>
      </c>
      <c r="N263" s="19" t="s">
        <v>598</v>
      </c>
      <c r="O263" s="19" t="s">
        <v>644</v>
      </c>
      <c r="P263" s="19" t="s">
        <v>604</v>
      </c>
      <c r="Q263" s="19" t="s">
        <v>607</v>
      </c>
      <c r="R263" s="19" t="s">
        <v>615</v>
      </c>
      <c r="S263" s="19" t="s">
        <v>617</v>
      </c>
      <c r="T263" s="21" t="s">
        <v>663</v>
      </c>
      <c r="U263" s="19" t="s">
        <v>55</v>
      </c>
    </row>
    <row r="264" spans="1:21" x14ac:dyDescent="0.25">
      <c r="A264" s="19" t="s">
        <v>733</v>
      </c>
      <c r="B264" s="56" t="s">
        <v>636</v>
      </c>
      <c r="C264" s="19" t="s">
        <v>734</v>
      </c>
      <c r="D264" s="19">
        <v>0.5</v>
      </c>
      <c r="E264" s="19" t="s">
        <v>91</v>
      </c>
      <c r="F264" s="19" t="s">
        <v>648</v>
      </c>
      <c r="G264" s="20">
        <v>0.5</v>
      </c>
      <c r="H264" s="19" t="s">
        <v>622</v>
      </c>
      <c r="I264" s="19" t="s">
        <v>90</v>
      </c>
      <c r="J264" s="19" t="s">
        <v>105</v>
      </c>
      <c r="K264" s="19" t="s">
        <v>16</v>
      </c>
      <c r="L264" s="19" t="s">
        <v>703</v>
      </c>
      <c r="M264" s="19" t="s">
        <v>599</v>
      </c>
      <c r="N264" s="19" t="s">
        <v>598</v>
      </c>
      <c r="O264" s="19" t="s">
        <v>644</v>
      </c>
      <c r="P264" s="19" t="s">
        <v>604</v>
      </c>
      <c r="Q264" s="19" t="s">
        <v>607</v>
      </c>
      <c r="R264" s="19" t="s">
        <v>615</v>
      </c>
      <c r="S264" s="19" t="s">
        <v>617</v>
      </c>
      <c r="T264" s="19" t="s">
        <v>645</v>
      </c>
      <c r="U264" s="21" t="s">
        <v>568</v>
      </c>
    </row>
    <row r="265" spans="1:21" x14ac:dyDescent="0.25">
      <c r="A265" s="16" t="s">
        <v>735</v>
      </c>
      <c r="B265" s="55" t="s">
        <v>626</v>
      </c>
      <c r="C265" s="16" t="s">
        <v>736</v>
      </c>
      <c r="D265" s="16">
        <v>0.5</v>
      </c>
      <c r="E265" s="16" t="s">
        <v>91</v>
      </c>
      <c r="F265" s="16" t="s">
        <v>18</v>
      </c>
      <c r="G265" s="17">
        <v>1</v>
      </c>
      <c r="H265" s="16" t="s">
        <v>652</v>
      </c>
      <c r="I265" s="16" t="s">
        <v>90</v>
      </c>
      <c r="J265" s="16" t="s">
        <v>105</v>
      </c>
      <c r="K265" s="16" t="s">
        <v>16</v>
      </c>
      <c r="L265" s="16" t="s">
        <v>668</v>
      </c>
      <c r="M265" s="16" t="s">
        <v>653</v>
      </c>
      <c r="N265" s="16" t="s">
        <v>597</v>
      </c>
      <c r="O265" s="16" t="s">
        <v>644</v>
      </c>
      <c r="P265" s="16" t="s">
        <v>604</v>
      </c>
      <c r="Q265" s="16" t="s">
        <v>607</v>
      </c>
      <c r="R265" s="16" t="s">
        <v>615</v>
      </c>
      <c r="S265" s="16" t="s">
        <v>617</v>
      </c>
      <c r="T265" s="16" t="s">
        <v>645</v>
      </c>
      <c r="U265" s="16" t="s">
        <v>55</v>
      </c>
    </row>
    <row r="266" spans="1:21" x14ac:dyDescent="0.25">
      <c r="A266" s="16" t="s">
        <v>735</v>
      </c>
      <c r="B266" s="55" t="s">
        <v>626</v>
      </c>
      <c r="C266" s="16" t="s">
        <v>736</v>
      </c>
      <c r="D266" s="16">
        <v>0.5</v>
      </c>
      <c r="E266" s="16" t="s">
        <v>91</v>
      </c>
      <c r="F266" s="16" t="s">
        <v>21</v>
      </c>
      <c r="G266" s="17">
        <v>0.5</v>
      </c>
      <c r="H266" s="16" t="s">
        <v>30</v>
      </c>
      <c r="I266" s="16" t="s">
        <v>90</v>
      </c>
      <c r="J266" s="16" t="s">
        <v>105</v>
      </c>
      <c r="K266" s="16" t="s">
        <v>28</v>
      </c>
      <c r="L266" s="16" t="s">
        <v>668</v>
      </c>
      <c r="M266" s="16" t="s">
        <v>653</v>
      </c>
      <c r="N266" s="16" t="s">
        <v>597</v>
      </c>
      <c r="O266" s="16" t="s">
        <v>644</v>
      </c>
      <c r="P266" s="16" t="s">
        <v>604</v>
      </c>
      <c r="Q266" s="16" t="s">
        <v>607</v>
      </c>
      <c r="R266" s="16" t="s">
        <v>615</v>
      </c>
      <c r="S266" s="16" t="s">
        <v>617</v>
      </c>
      <c r="T266" s="16" t="s">
        <v>645</v>
      </c>
      <c r="U266" s="16" t="s">
        <v>55</v>
      </c>
    </row>
    <row r="267" spans="1:21" x14ac:dyDescent="0.25">
      <c r="A267" s="16" t="s">
        <v>735</v>
      </c>
      <c r="B267" s="55" t="s">
        <v>626</v>
      </c>
      <c r="C267" s="16" t="s">
        <v>736</v>
      </c>
      <c r="D267" s="16">
        <v>0.5</v>
      </c>
      <c r="E267" s="16" t="s">
        <v>91</v>
      </c>
      <c r="F267" s="16" t="s">
        <v>22</v>
      </c>
      <c r="G267" s="17">
        <v>0.25</v>
      </c>
      <c r="H267" s="16" t="s">
        <v>31</v>
      </c>
      <c r="I267" s="16" t="s">
        <v>90</v>
      </c>
      <c r="J267" s="16" t="s">
        <v>105</v>
      </c>
      <c r="K267" s="16" t="s">
        <v>29</v>
      </c>
      <c r="L267" s="16" t="s">
        <v>668</v>
      </c>
      <c r="M267" s="16" t="s">
        <v>653</v>
      </c>
      <c r="N267" s="16" t="s">
        <v>597</v>
      </c>
      <c r="O267" s="16" t="s">
        <v>644</v>
      </c>
      <c r="P267" s="16" t="s">
        <v>604</v>
      </c>
      <c r="Q267" s="16" t="s">
        <v>607</v>
      </c>
      <c r="R267" s="16" t="s">
        <v>615</v>
      </c>
      <c r="S267" s="16" t="s">
        <v>617</v>
      </c>
      <c r="T267" s="16" t="s">
        <v>645</v>
      </c>
      <c r="U267" s="16" t="s">
        <v>55</v>
      </c>
    </row>
    <row r="268" spans="1:21" x14ac:dyDescent="0.25">
      <c r="A268" s="16" t="s">
        <v>735</v>
      </c>
      <c r="B268" s="55" t="s">
        <v>626</v>
      </c>
      <c r="C268" s="16" t="s">
        <v>736</v>
      </c>
      <c r="D268" s="16">
        <v>0.5</v>
      </c>
      <c r="E268" s="16" t="s">
        <v>91</v>
      </c>
      <c r="F268" s="16" t="s">
        <v>23</v>
      </c>
      <c r="G268" s="17">
        <v>0.67</v>
      </c>
      <c r="H268" s="16" t="s">
        <v>646</v>
      </c>
      <c r="I268" s="16" t="s">
        <v>90</v>
      </c>
      <c r="J268" s="16" t="s">
        <v>105</v>
      </c>
      <c r="K268" s="16" t="s">
        <v>16</v>
      </c>
      <c r="L268" s="16" t="s">
        <v>668</v>
      </c>
      <c r="M268" s="16" t="s">
        <v>653</v>
      </c>
      <c r="N268" s="18" t="s">
        <v>598</v>
      </c>
      <c r="O268" s="16" t="s">
        <v>644</v>
      </c>
      <c r="P268" s="16" t="s">
        <v>604</v>
      </c>
      <c r="Q268" s="16" t="s">
        <v>607</v>
      </c>
      <c r="R268" s="16" t="s">
        <v>615</v>
      </c>
      <c r="S268" s="16" t="s">
        <v>617</v>
      </c>
      <c r="T268" s="16" t="s">
        <v>645</v>
      </c>
      <c r="U268" s="16" t="s">
        <v>55</v>
      </c>
    </row>
    <row r="269" spans="1:21" x14ac:dyDescent="0.25">
      <c r="A269" s="16" t="s">
        <v>735</v>
      </c>
      <c r="B269" s="55" t="s">
        <v>626</v>
      </c>
      <c r="C269" s="16" t="s">
        <v>736</v>
      </c>
      <c r="D269" s="16">
        <v>0.5</v>
      </c>
      <c r="E269" s="16" t="s">
        <v>91</v>
      </c>
      <c r="F269" s="16" t="s">
        <v>24</v>
      </c>
      <c r="G269" s="17">
        <v>0.33</v>
      </c>
      <c r="H269" s="16" t="s">
        <v>667</v>
      </c>
      <c r="I269" s="16" t="s">
        <v>90</v>
      </c>
      <c r="J269" s="16" t="s">
        <v>105</v>
      </c>
      <c r="K269" s="16" t="s">
        <v>16</v>
      </c>
      <c r="L269" s="18" t="s">
        <v>665</v>
      </c>
      <c r="M269" s="16" t="s">
        <v>653</v>
      </c>
      <c r="N269" s="16" t="s">
        <v>597</v>
      </c>
      <c r="O269" s="16" t="s">
        <v>644</v>
      </c>
      <c r="P269" s="16" t="s">
        <v>604</v>
      </c>
      <c r="Q269" s="16" t="s">
        <v>607</v>
      </c>
      <c r="R269" s="16" t="s">
        <v>615</v>
      </c>
      <c r="S269" s="16" t="s">
        <v>617</v>
      </c>
      <c r="T269" s="16" t="s">
        <v>645</v>
      </c>
      <c r="U269" s="16" t="s">
        <v>55</v>
      </c>
    </row>
    <row r="270" spans="1:21" x14ac:dyDescent="0.25">
      <c r="A270" s="16" t="s">
        <v>735</v>
      </c>
      <c r="B270" s="55" t="s">
        <v>626</v>
      </c>
      <c r="C270" s="16" t="s">
        <v>736</v>
      </c>
      <c r="D270" s="16">
        <v>0.5</v>
      </c>
      <c r="E270" s="16" t="s">
        <v>91</v>
      </c>
      <c r="F270" s="16" t="s">
        <v>25</v>
      </c>
      <c r="G270" s="17">
        <v>0.67</v>
      </c>
      <c r="H270" s="16" t="s">
        <v>655</v>
      </c>
      <c r="I270" s="16" t="s">
        <v>90</v>
      </c>
      <c r="J270" s="16" t="s">
        <v>105</v>
      </c>
      <c r="K270" s="16" t="s">
        <v>16</v>
      </c>
      <c r="L270" s="16" t="s">
        <v>668</v>
      </c>
      <c r="M270" s="18" t="s">
        <v>599</v>
      </c>
      <c r="N270" s="16" t="s">
        <v>597</v>
      </c>
      <c r="O270" s="16" t="s">
        <v>644</v>
      </c>
      <c r="P270" s="16" t="s">
        <v>604</v>
      </c>
      <c r="Q270" s="16" t="s">
        <v>607</v>
      </c>
      <c r="R270" s="16" t="s">
        <v>615</v>
      </c>
      <c r="S270" s="16" t="s">
        <v>617</v>
      </c>
      <c r="T270" s="16" t="s">
        <v>645</v>
      </c>
      <c r="U270" s="16" t="s">
        <v>55</v>
      </c>
    </row>
    <row r="271" spans="1:21" x14ac:dyDescent="0.25">
      <c r="A271" s="16" t="s">
        <v>735</v>
      </c>
      <c r="B271" s="55" t="s">
        <v>626</v>
      </c>
      <c r="C271" s="16" t="s">
        <v>736</v>
      </c>
      <c r="D271" s="16"/>
      <c r="E271" s="16"/>
      <c r="F271" s="16" t="s">
        <v>36</v>
      </c>
      <c r="G271" s="17">
        <v>0.33</v>
      </c>
      <c r="H271" s="16" t="s">
        <v>654</v>
      </c>
      <c r="I271" s="16" t="s">
        <v>90</v>
      </c>
      <c r="J271" s="16" t="s">
        <v>105</v>
      </c>
      <c r="K271" s="16" t="s">
        <v>16</v>
      </c>
      <c r="L271" s="16" t="s">
        <v>668</v>
      </c>
      <c r="M271" s="16" t="s">
        <v>600</v>
      </c>
      <c r="N271" s="16" t="s">
        <v>597</v>
      </c>
      <c r="O271" s="18" t="s">
        <v>644</v>
      </c>
      <c r="P271" s="16" t="s">
        <v>604</v>
      </c>
      <c r="Q271" s="16" t="s">
        <v>607</v>
      </c>
      <c r="R271" s="16" t="s">
        <v>615</v>
      </c>
      <c r="S271" s="16" t="s">
        <v>617</v>
      </c>
      <c r="T271" s="16" t="s">
        <v>645</v>
      </c>
      <c r="U271" s="16" t="s">
        <v>55</v>
      </c>
    </row>
    <row r="272" spans="1:21" x14ac:dyDescent="0.25">
      <c r="A272" s="16" t="s">
        <v>735</v>
      </c>
      <c r="B272" s="55" t="s">
        <v>626</v>
      </c>
      <c r="C272" s="16" t="s">
        <v>736</v>
      </c>
      <c r="D272" s="16">
        <v>0.5</v>
      </c>
      <c r="E272" s="16" t="s">
        <v>91</v>
      </c>
      <c r="F272" s="16" t="s">
        <v>37</v>
      </c>
      <c r="G272" s="17">
        <v>0.67</v>
      </c>
      <c r="H272" s="16" t="s">
        <v>657</v>
      </c>
      <c r="I272" s="16" t="s">
        <v>90</v>
      </c>
      <c r="J272" s="16" t="s">
        <v>105</v>
      </c>
      <c r="K272" s="16" t="s">
        <v>16</v>
      </c>
      <c r="L272" s="16" t="s">
        <v>668</v>
      </c>
      <c r="M272" s="16" t="s">
        <v>653</v>
      </c>
      <c r="N272" s="16" t="s">
        <v>597</v>
      </c>
      <c r="O272" s="18" t="s">
        <v>643</v>
      </c>
      <c r="P272" s="16" t="s">
        <v>604</v>
      </c>
      <c r="Q272" s="16" t="s">
        <v>607</v>
      </c>
      <c r="R272" s="16" t="s">
        <v>615</v>
      </c>
      <c r="S272" s="16" t="s">
        <v>617</v>
      </c>
      <c r="T272" s="16" t="s">
        <v>645</v>
      </c>
      <c r="U272" s="16" t="s">
        <v>55</v>
      </c>
    </row>
    <row r="273" spans="1:21" x14ac:dyDescent="0.25">
      <c r="A273" s="16" t="s">
        <v>735</v>
      </c>
      <c r="B273" s="55" t="s">
        <v>626</v>
      </c>
      <c r="C273" s="16" t="s">
        <v>736</v>
      </c>
      <c r="D273" s="16">
        <v>0.5</v>
      </c>
      <c r="E273" s="16" t="s">
        <v>91</v>
      </c>
      <c r="F273" s="16" t="s">
        <v>38</v>
      </c>
      <c r="G273" s="17">
        <v>0.5</v>
      </c>
      <c r="H273" s="16" t="s">
        <v>603</v>
      </c>
      <c r="I273" s="16" t="s">
        <v>90</v>
      </c>
      <c r="J273" s="16" t="s">
        <v>105</v>
      </c>
      <c r="K273" s="16" t="s">
        <v>16</v>
      </c>
      <c r="L273" s="16" t="s">
        <v>668</v>
      </c>
      <c r="M273" s="16" t="s">
        <v>653</v>
      </c>
      <c r="N273" s="16" t="s">
        <v>597</v>
      </c>
      <c r="O273" s="18" t="s">
        <v>656</v>
      </c>
      <c r="P273" s="16" t="s">
        <v>604</v>
      </c>
      <c r="Q273" s="16" t="s">
        <v>607</v>
      </c>
      <c r="R273" s="16" t="s">
        <v>615</v>
      </c>
      <c r="S273" s="16" t="s">
        <v>617</v>
      </c>
      <c r="T273" s="16" t="s">
        <v>645</v>
      </c>
      <c r="U273" s="16" t="s">
        <v>55</v>
      </c>
    </row>
    <row r="274" spans="1:21" x14ac:dyDescent="0.25">
      <c r="A274" s="16" t="s">
        <v>735</v>
      </c>
      <c r="B274" s="55" t="s">
        <v>626</v>
      </c>
      <c r="C274" s="16" t="s">
        <v>736</v>
      </c>
      <c r="D274" s="16">
        <v>0.5</v>
      </c>
      <c r="E274" s="16" t="s">
        <v>91</v>
      </c>
      <c r="F274" s="16" t="s">
        <v>64</v>
      </c>
      <c r="G274" s="17">
        <v>0.25</v>
      </c>
      <c r="H274" s="16" t="s">
        <v>660</v>
      </c>
      <c r="I274" s="16" t="s">
        <v>90</v>
      </c>
      <c r="J274" s="16" t="s">
        <v>105</v>
      </c>
      <c r="K274" s="16" t="s">
        <v>16</v>
      </c>
      <c r="L274" s="16" t="s">
        <v>668</v>
      </c>
      <c r="M274" s="16" t="s">
        <v>653</v>
      </c>
      <c r="N274" s="16" t="s">
        <v>597</v>
      </c>
      <c r="O274" s="16" t="s">
        <v>661</v>
      </c>
      <c r="P274" s="18" t="s">
        <v>604</v>
      </c>
      <c r="Q274" s="16" t="s">
        <v>607</v>
      </c>
      <c r="R274" s="16" t="s">
        <v>615</v>
      </c>
      <c r="S274" s="16" t="s">
        <v>617</v>
      </c>
      <c r="T274" s="16" t="s">
        <v>645</v>
      </c>
      <c r="U274" s="16" t="s">
        <v>55</v>
      </c>
    </row>
    <row r="275" spans="1:21" x14ac:dyDescent="0.25">
      <c r="A275" s="16" t="s">
        <v>735</v>
      </c>
      <c r="B275" s="55" t="s">
        <v>626</v>
      </c>
      <c r="C275" s="16" t="s">
        <v>736</v>
      </c>
      <c r="D275" s="16">
        <v>0.5</v>
      </c>
      <c r="E275" s="16" t="s">
        <v>91</v>
      </c>
      <c r="F275" s="16" t="s">
        <v>111</v>
      </c>
      <c r="G275" s="17">
        <v>0.5</v>
      </c>
      <c r="H275" s="16" t="s">
        <v>606</v>
      </c>
      <c r="I275" s="16" t="s">
        <v>90</v>
      </c>
      <c r="J275" s="16" t="s">
        <v>105</v>
      </c>
      <c r="K275" s="16" t="s">
        <v>16</v>
      </c>
      <c r="L275" s="16" t="s">
        <v>668</v>
      </c>
      <c r="M275" s="16" t="s">
        <v>653</v>
      </c>
      <c r="N275" s="16" t="s">
        <v>597</v>
      </c>
      <c r="O275" s="16" t="s">
        <v>644</v>
      </c>
      <c r="P275" s="16" t="s">
        <v>605</v>
      </c>
      <c r="Q275" s="18" t="s">
        <v>607</v>
      </c>
      <c r="R275" s="16" t="s">
        <v>615</v>
      </c>
      <c r="S275" s="16" t="s">
        <v>617</v>
      </c>
      <c r="T275" s="16" t="s">
        <v>645</v>
      </c>
      <c r="U275" s="16" t="s">
        <v>55</v>
      </c>
    </row>
    <row r="276" spans="1:21" x14ac:dyDescent="0.25">
      <c r="A276" s="16" t="s">
        <v>735</v>
      </c>
      <c r="B276" s="55" t="s">
        <v>626</v>
      </c>
      <c r="C276" s="16" t="s">
        <v>736</v>
      </c>
      <c r="D276" s="16">
        <v>0.5</v>
      </c>
      <c r="E276" s="16" t="s">
        <v>91</v>
      </c>
      <c r="F276" s="16" t="s">
        <v>123</v>
      </c>
      <c r="G276" s="17">
        <v>0.1</v>
      </c>
      <c r="H276" s="16" t="s">
        <v>608</v>
      </c>
      <c r="I276" s="16" t="s">
        <v>90</v>
      </c>
      <c r="J276" s="16" t="s">
        <v>105</v>
      </c>
      <c r="K276" s="16" t="s">
        <v>16</v>
      </c>
      <c r="L276" s="16" t="s">
        <v>668</v>
      </c>
      <c r="M276" s="16" t="s">
        <v>653</v>
      </c>
      <c r="N276" s="16" t="s">
        <v>597</v>
      </c>
      <c r="O276" s="16" t="s">
        <v>644</v>
      </c>
      <c r="P276" s="16" t="s">
        <v>604</v>
      </c>
      <c r="Q276" s="16" t="s">
        <v>609</v>
      </c>
      <c r="R276" s="18" t="s">
        <v>615</v>
      </c>
      <c r="S276" s="16" t="s">
        <v>617</v>
      </c>
      <c r="T276" s="16" t="s">
        <v>645</v>
      </c>
      <c r="U276" s="16" t="s">
        <v>55</v>
      </c>
    </row>
    <row r="277" spans="1:21" x14ac:dyDescent="0.25">
      <c r="A277" s="16" t="s">
        <v>735</v>
      </c>
      <c r="B277" s="55" t="s">
        <v>626</v>
      </c>
      <c r="C277" s="16" t="s">
        <v>736</v>
      </c>
      <c r="D277" s="16">
        <v>0.5</v>
      </c>
      <c r="E277" s="16" t="s">
        <v>91</v>
      </c>
      <c r="F277" s="16" t="s">
        <v>595</v>
      </c>
      <c r="G277" s="17">
        <v>0.75</v>
      </c>
      <c r="H277" s="16" t="s">
        <v>614</v>
      </c>
      <c r="I277" s="16" t="s">
        <v>90</v>
      </c>
      <c r="J277" s="16" t="s">
        <v>105</v>
      </c>
      <c r="K277" s="16" t="s">
        <v>16</v>
      </c>
      <c r="L277" s="16" t="s">
        <v>668</v>
      </c>
      <c r="M277" s="16" t="s">
        <v>653</v>
      </c>
      <c r="N277" s="16" t="s">
        <v>597</v>
      </c>
      <c r="O277" s="16" t="s">
        <v>644</v>
      </c>
      <c r="P277" s="16" t="s">
        <v>604</v>
      </c>
      <c r="Q277" s="16" t="s">
        <v>607</v>
      </c>
      <c r="R277" s="16" t="s">
        <v>616</v>
      </c>
      <c r="S277" s="18" t="s">
        <v>617</v>
      </c>
      <c r="T277" s="16" t="s">
        <v>645</v>
      </c>
      <c r="U277" s="16" t="s">
        <v>55</v>
      </c>
    </row>
    <row r="278" spans="1:21" x14ac:dyDescent="0.25">
      <c r="A278" s="16" t="s">
        <v>735</v>
      </c>
      <c r="B278" s="55" t="s">
        <v>626</v>
      </c>
      <c r="C278" s="16" t="s">
        <v>736</v>
      </c>
      <c r="D278" s="16">
        <v>0.5</v>
      </c>
      <c r="E278" s="16" t="s">
        <v>91</v>
      </c>
      <c r="F278" s="16" t="s">
        <v>596</v>
      </c>
      <c r="G278" s="17">
        <v>0.1</v>
      </c>
      <c r="H278" s="16" t="s">
        <v>618</v>
      </c>
      <c r="I278" s="16" t="s">
        <v>90</v>
      </c>
      <c r="J278" s="16" t="s">
        <v>105</v>
      </c>
      <c r="K278" s="16" t="s">
        <v>16</v>
      </c>
      <c r="L278" s="16" t="s">
        <v>668</v>
      </c>
      <c r="M278" s="16" t="s">
        <v>653</v>
      </c>
      <c r="N278" s="16" t="s">
        <v>597</v>
      </c>
      <c r="O278" s="16" t="s">
        <v>644</v>
      </c>
      <c r="P278" s="16" t="s">
        <v>604</v>
      </c>
      <c r="Q278" s="16" t="s">
        <v>607</v>
      </c>
      <c r="R278" s="16" t="s">
        <v>615</v>
      </c>
      <c r="S278" s="16" t="s">
        <v>619</v>
      </c>
      <c r="T278" s="18" t="s">
        <v>645</v>
      </c>
      <c r="U278" s="16" t="s">
        <v>55</v>
      </c>
    </row>
    <row r="279" spans="1:21" x14ac:dyDescent="0.25">
      <c r="A279" s="16" t="s">
        <v>735</v>
      </c>
      <c r="B279" s="55" t="s">
        <v>626</v>
      </c>
      <c r="C279" s="16" t="s">
        <v>736</v>
      </c>
      <c r="D279" s="16">
        <v>0.5</v>
      </c>
      <c r="E279" s="16" t="s">
        <v>91</v>
      </c>
      <c r="F279" s="16" t="s">
        <v>613</v>
      </c>
      <c r="G279" s="17">
        <v>0.67</v>
      </c>
      <c r="H279" s="16" t="s">
        <v>662</v>
      </c>
      <c r="I279" s="16" t="s">
        <v>90</v>
      </c>
      <c r="J279" s="16" t="s">
        <v>105</v>
      </c>
      <c r="K279" s="16" t="s">
        <v>16</v>
      </c>
      <c r="L279" s="16" t="s">
        <v>668</v>
      </c>
      <c r="M279" s="16" t="s">
        <v>653</v>
      </c>
      <c r="N279" s="16" t="s">
        <v>597</v>
      </c>
      <c r="O279" s="16" t="s">
        <v>644</v>
      </c>
      <c r="P279" s="16" t="s">
        <v>604</v>
      </c>
      <c r="Q279" s="16" t="s">
        <v>607</v>
      </c>
      <c r="R279" s="16" t="s">
        <v>615</v>
      </c>
      <c r="S279" s="16" t="s">
        <v>617</v>
      </c>
      <c r="T279" s="18" t="s">
        <v>620</v>
      </c>
      <c r="U279" s="16" t="s">
        <v>55</v>
      </c>
    </row>
    <row r="280" spans="1:21" x14ac:dyDescent="0.25">
      <c r="A280" s="16" t="s">
        <v>735</v>
      </c>
      <c r="B280" s="55" t="s">
        <v>626</v>
      </c>
      <c r="C280" s="16" t="s">
        <v>736</v>
      </c>
      <c r="D280" s="16">
        <v>0.5</v>
      </c>
      <c r="E280" s="16" t="s">
        <v>91</v>
      </c>
      <c r="F280" s="16" t="s">
        <v>648</v>
      </c>
      <c r="G280" s="17">
        <v>0.33</v>
      </c>
      <c r="H280" s="16" t="s">
        <v>621</v>
      </c>
      <c r="I280" s="16" t="s">
        <v>90</v>
      </c>
      <c r="J280" s="16" t="s">
        <v>105</v>
      </c>
      <c r="K280" s="16" t="s">
        <v>16</v>
      </c>
      <c r="L280" s="16" t="s">
        <v>668</v>
      </c>
      <c r="M280" s="16" t="s">
        <v>653</v>
      </c>
      <c r="N280" s="16" t="s">
        <v>597</v>
      </c>
      <c r="O280" s="16" t="s">
        <v>644</v>
      </c>
      <c r="P280" s="16" t="s">
        <v>604</v>
      </c>
      <c r="Q280" s="16" t="s">
        <v>607</v>
      </c>
      <c r="R280" s="16" t="s">
        <v>615</v>
      </c>
      <c r="S280" s="16" t="s">
        <v>617</v>
      </c>
      <c r="T280" s="16" t="s">
        <v>663</v>
      </c>
      <c r="U280" s="18" t="s">
        <v>55</v>
      </c>
    </row>
    <row r="281" spans="1:21" x14ac:dyDescent="0.25">
      <c r="A281" s="16" t="s">
        <v>735</v>
      </c>
      <c r="B281" s="55" t="s">
        <v>626</v>
      </c>
      <c r="C281" s="16" t="s">
        <v>736</v>
      </c>
      <c r="D281" s="51"/>
      <c r="E281" s="57"/>
      <c r="F281" s="58" t="s">
        <v>658</v>
      </c>
      <c r="G281" s="53">
        <v>0.25</v>
      </c>
      <c r="H281" s="53" t="s">
        <v>622</v>
      </c>
      <c r="I281" s="51" t="s">
        <v>90</v>
      </c>
      <c r="J281" s="51" t="s">
        <v>105</v>
      </c>
      <c r="K281" s="51" t="s">
        <v>16</v>
      </c>
      <c r="L281" s="51" t="s">
        <v>668</v>
      </c>
      <c r="M281" s="51" t="s">
        <v>653</v>
      </c>
      <c r="N281" s="51" t="s">
        <v>597</v>
      </c>
      <c r="O281" s="51" t="s">
        <v>644</v>
      </c>
      <c r="P281" s="51" t="s">
        <v>604</v>
      </c>
      <c r="Q281" s="51" t="s">
        <v>607</v>
      </c>
      <c r="R281" s="51" t="s">
        <v>615</v>
      </c>
      <c r="S281" s="51" t="s">
        <v>617</v>
      </c>
      <c r="T281" s="51" t="s">
        <v>645</v>
      </c>
      <c r="U281" s="51" t="s">
        <v>568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94"/>
  <sheetViews>
    <sheetView topLeftCell="A33" workbookViewId="0">
      <selection activeCell="A53" sqref="A53"/>
    </sheetView>
  </sheetViews>
  <sheetFormatPr defaultRowHeight="15" x14ac:dyDescent="0.25"/>
  <cols>
    <col min="1" max="1" width="52.42578125" customWidth="1"/>
    <col min="2" max="2" width="19.42578125" customWidth="1"/>
    <col min="3" max="3" width="12.42578125" bestFit="1" customWidth="1"/>
    <col min="4" max="4" width="30.7109375" bestFit="1" customWidth="1"/>
    <col min="5" max="10" width="14.5703125" bestFit="1" customWidth="1"/>
    <col min="11" max="11" width="15.140625" bestFit="1" customWidth="1"/>
  </cols>
  <sheetData>
    <row r="1" spans="1:16" x14ac:dyDescent="0.25">
      <c r="A1" s="24" t="s">
        <v>271</v>
      </c>
      <c r="B1" s="24" t="s">
        <v>369</v>
      </c>
      <c r="C1" s="24" t="s">
        <v>272</v>
      </c>
      <c r="D1" t="s">
        <v>379</v>
      </c>
      <c r="E1" t="s">
        <v>362</v>
      </c>
      <c r="F1" t="s">
        <v>363</v>
      </c>
      <c r="G1" t="s">
        <v>364</v>
      </c>
      <c r="H1" t="s">
        <v>365</v>
      </c>
      <c r="I1" t="s">
        <v>366</v>
      </c>
      <c r="J1" t="s">
        <v>367</v>
      </c>
      <c r="K1" t="s">
        <v>368</v>
      </c>
    </row>
    <row r="2" spans="1:16" x14ac:dyDescent="0.25">
      <c r="A2" s="6" t="s">
        <v>278</v>
      </c>
      <c r="B2" s="6" t="s">
        <v>371</v>
      </c>
      <c r="C2" t="s">
        <v>275</v>
      </c>
      <c r="D2">
        <v>1</v>
      </c>
      <c r="P2" t="s">
        <v>273</v>
      </c>
    </row>
    <row r="3" spans="1:16" x14ac:dyDescent="0.25">
      <c r="A3" s="6" t="s">
        <v>279</v>
      </c>
      <c r="B3" s="6" t="s">
        <v>371</v>
      </c>
      <c r="C3" t="s">
        <v>276</v>
      </c>
      <c r="D3">
        <v>1</v>
      </c>
      <c r="P3" t="s">
        <v>274</v>
      </c>
    </row>
    <row r="4" spans="1:16" x14ac:dyDescent="0.25">
      <c r="A4" s="6" t="s">
        <v>280</v>
      </c>
      <c r="B4" s="6" t="s">
        <v>371</v>
      </c>
      <c r="C4" t="s">
        <v>276</v>
      </c>
      <c r="D4">
        <v>1</v>
      </c>
      <c r="P4" t="s">
        <v>275</v>
      </c>
    </row>
    <row r="5" spans="1:16" x14ac:dyDescent="0.25">
      <c r="A5" s="6" t="s">
        <v>281</v>
      </c>
      <c r="B5" s="6" t="s">
        <v>371</v>
      </c>
      <c r="C5" t="s">
        <v>276</v>
      </c>
      <c r="D5">
        <v>1</v>
      </c>
      <c r="P5" t="s">
        <v>276</v>
      </c>
    </row>
    <row r="6" spans="1:16" x14ac:dyDescent="0.25">
      <c r="A6" s="6" t="s">
        <v>282</v>
      </c>
      <c r="B6" s="6" t="s">
        <v>371</v>
      </c>
      <c r="C6" t="s">
        <v>276</v>
      </c>
      <c r="D6">
        <v>1</v>
      </c>
      <c r="P6" t="s">
        <v>277</v>
      </c>
    </row>
    <row r="7" spans="1:16" x14ac:dyDescent="0.25">
      <c r="A7" s="6" t="s">
        <v>283</v>
      </c>
      <c r="B7" s="6" t="s">
        <v>371</v>
      </c>
      <c r="C7" t="s">
        <v>274</v>
      </c>
      <c r="D7">
        <v>1</v>
      </c>
    </row>
    <row r="8" spans="1:16" x14ac:dyDescent="0.25">
      <c r="A8" s="6" t="s">
        <v>284</v>
      </c>
      <c r="B8" s="6" t="s">
        <v>371</v>
      </c>
      <c r="C8" t="s">
        <v>274</v>
      </c>
      <c r="D8">
        <v>1</v>
      </c>
      <c r="P8" t="s">
        <v>370</v>
      </c>
    </row>
    <row r="9" spans="1:16" x14ac:dyDescent="0.25">
      <c r="A9" s="6" t="s">
        <v>285</v>
      </c>
      <c r="B9" s="6" t="s">
        <v>371</v>
      </c>
      <c r="C9" t="s">
        <v>276</v>
      </c>
      <c r="D9">
        <v>1</v>
      </c>
      <c r="P9" t="s">
        <v>371</v>
      </c>
    </row>
    <row r="10" spans="1:16" x14ac:dyDescent="0.25">
      <c r="A10" s="6" t="s">
        <v>286</v>
      </c>
      <c r="B10" s="6" t="s">
        <v>371</v>
      </c>
      <c r="C10" t="s">
        <v>275</v>
      </c>
      <c r="D10">
        <v>1</v>
      </c>
      <c r="P10" t="s">
        <v>372</v>
      </c>
    </row>
    <row r="11" spans="1:16" x14ac:dyDescent="0.25">
      <c r="A11" s="6" t="s">
        <v>374</v>
      </c>
      <c r="B11" s="6" t="s">
        <v>371</v>
      </c>
      <c r="C11" t="s">
        <v>276</v>
      </c>
      <c r="D11">
        <v>1</v>
      </c>
      <c r="P11" t="s">
        <v>373</v>
      </c>
    </row>
    <row r="12" spans="1:16" x14ac:dyDescent="0.25">
      <c r="A12" s="6" t="s">
        <v>287</v>
      </c>
      <c r="B12" s="6" t="s">
        <v>371</v>
      </c>
      <c r="C12" t="s">
        <v>276</v>
      </c>
      <c r="D12">
        <v>1</v>
      </c>
      <c r="P12" t="s">
        <v>277</v>
      </c>
    </row>
    <row r="13" spans="1:16" x14ac:dyDescent="0.25">
      <c r="A13" s="6" t="s">
        <v>288</v>
      </c>
      <c r="B13" s="6" t="s">
        <v>371</v>
      </c>
      <c r="C13" t="s">
        <v>276</v>
      </c>
      <c r="D13">
        <v>1</v>
      </c>
    </row>
    <row r="14" spans="1:16" x14ac:dyDescent="0.25">
      <c r="A14" s="6" t="s">
        <v>289</v>
      </c>
      <c r="B14" s="6" t="s">
        <v>371</v>
      </c>
      <c r="C14" t="s">
        <v>274</v>
      </c>
      <c r="D14">
        <v>1</v>
      </c>
    </row>
    <row r="15" spans="1:16" x14ac:dyDescent="0.25">
      <c r="A15" s="6" t="s">
        <v>290</v>
      </c>
      <c r="B15" s="6" t="s">
        <v>371</v>
      </c>
      <c r="C15" t="s">
        <v>274</v>
      </c>
      <c r="D15">
        <v>1</v>
      </c>
    </row>
    <row r="16" spans="1:16" x14ac:dyDescent="0.25">
      <c r="A16" s="6" t="s">
        <v>291</v>
      </c>
      <c r="B16" s="6" t="s">
        <v>371</v>
      </c>
      <c r="C16" t="s">
        <v>275</v>
      </c>
      <c r="D16">
        <v>1</v>
      </c>
    </row>
    <row r="17" spans="1:4" x14ac:dyDescent="0.25">
      <c r="A17" s="6" t="s">
        <v>292</v>
      </c>
      <c r="B17" s="6" t="s">
        <v>371</v>
      </c>
      <c r="C17" t="s">
        <v>276</v>
      </c>
      <c r="D17">
        <v>1</v>
      </c>
    </row>
    <row r="18" spans="1:4" x14ac:dyDescent="0.25">
      <c r="A18" s="6" t="s">
        <v>293</v>
      </c>
      <c r="B18" s="6" t="s">
        <v>371</v>
      </c>
      <c r="C18" t="s">
        <v>276</v>
      </c>
      <c r="D18">
        <v>1</v>
      </c>
    </row>
    <row r="19" spans="1:4" x14ac:dyDescent="0.25">
      <c r="A19" s="6" t="s">
        <v>294</v>
      </c>
      <c r="B19" s="6" t="s">
        <v>371</v>
      </c>
      <c r="C19" t="s">
        <v>275</v>
      </c>
      <c r="D19">
        <v>1</v>
      </c>
    </row>
    <row r="20" spans="1:4" x14ac:dyDescent="0.25">
      <c r="A20" s="6" t="s">
        <v>295</v>
      </c>
      <c r="B20" s="6" t="s">
        <v>371</v>
      </c>
      <c r="C20" t="s">
        <v>276</v>
      </c>
      <c r="D20">
        <v>1</v>
      </c>
    </row>
    <row r="21" spans="1:4" x14ac:dyDescent="0.25">
      <c r="A21" s="6" t="s">
        <v>296</v>
      </c>
      <c r="B21" s="6" t="s">
        <v>371</v>
      </c>
      <c r="C21" t="s">
        <v>276</v>
      </c>
      <c r="D21">
        <v>1</v>
      </c>
    </row>
    <row r="22" spans="1:4" x14ac:dyDescent="0.25">
      <c r="A22" s="6" t="s">
        <v>297</v>
      </c>
      <c r="B22" s="6" t="s">
        <v>371</v>
      </c>
      <c r="C22" t="s">
        <v>274</v>
      </c>
      <c r="D22">
        <v>1</v>
      </c>
    </row>
    <row r="23" spans="1:4" x14ac:dyDescent="0.25">
      <c r="A23" s="6" t="s">
        <v>298</v>
      </c>
      <c r="B23" s="6" t="s">
        <v>371</v>
      </c>
      <c r="C23" t="s">
        <v>274</v>
      </c>
      <c r="D23">
        <v>1</v>
      </c>
    </row>
    <row r="24" spans="1:4" x14ac:dyDescent="0.25">
      <c r="A24" s="6" t="s">
        <v>299</v>
      </c>
      <c r="B24" s="6" t="s">
        <v>371</v>
      </c>
      <c r="C24" t="s">
        <v>275</v>
      </c>
      <c r="D24">
        <v>1</v>
      </c>
    </row>
    <row r="25" spans="1:4" x14ac:dyDescent="0.25">
      <c r="A25" s="6" t="s">
        <v>300</v>
      </c>
      <c r="B25" s="6" t="s">
        <v>371</v>
      </c>
      <c r="C25" t="s">
        <v>275</v>
      </c>
      <c r="D25">
        <v>1</v>
      </c>
    </row>
    <row r="26" spans="1:4" x14ac:dyDescent="0.25">
      <c r="A26" s="6" t="s">
        <v>301</v>
      </c>
      <c r="B26" s="6" t="s">
        <v>277</v>
      </c>
      <c r="C26" t="s">
        <v>277</v>
      </c>
      <c r="D26">
        <v>1</v>
      </c>
    </row>
    <row r="27" spans="1:4" x14ac:dyDescent="0.25">
      <c r="A27" s="6" t="s">
        <v>302</v>
      </c>
      <c r="B27" s="6" t="s">
        <v>277</v>
      </c>
      <c r="C27" t="s">
        <v>277</v>
      </c>
      <c r="D27">
        <v>1</v>
      </c>
    </row>
    <row r="28" spans="1:4" x14ac:dyDescent="0.25">
      <c r="A28" s="6" t="s">
        <v>303</v>
      </c>
      <c r="B28" s="6" t="s">
        <v>277</v>
      </c>
      <c r="C28" t="s">
        <v>277</v>
      </c>
      <c r="D28">
        <v>1</v>
      </c>
    </row>
    <row r="29" spans="1:4" x14ac:dyDescent="0.25">
      <c r="A29" s="6" t="s">
        <v>304</v>
      </c>
      <c r="B29" s="6" t="s">
        <v>371</v>
      </c>
      <c r="C29" t="s">
        <v>275</v>
      </c>
      <c r="D29">
        <v>1</v>
      </c>
    </row>
    <row r="30" spans="1:4" x14ac:dyDescent="0.25">
      <c r="A30" s="6" t="s">
        <v>305</v>
      </c>
      <c r="B30" s="6" t="s">
        <v>277</v>
      </c>
      <c r="C30" t="s">
        <v>277</v>
      </c>
      <c r="D30">
        <v>1</v>
      </c>
    </row>
    <row r="31" spans="1:4" x14ac:dyDescent="0.25">
      <c r="A31" s="6" t="s">
        <v>306</v>
      </c>
      <c r="B31" s="6" t="s">
        <v>371</v>
      </c>
      <c r="C31" t="s">
        <v>276</v>
      </c>
      <c r="D31">
        <v>1</v>
      </c>
    </row>
    <row r="32" spans="1:4" x14ac:dyDescent="0.25">
      <c r="A32" s="6" t="s">
        <v>307</v>
      </c>
      <c r="B32" s="6" t="s">
        <v>277</v>
      </c>
      <c r="C32" t="s">
        <v>277</v>
      </c>
      <c r="D32">
        <v>1</v>
      </c>
    </row>
    <row r="33" spans="1:4" x14ac:dyDescent="0.25">
      <c r="A33" s="6" t="s">
        <v>308</v>
      </c>
      <c r="B33" s="6" t="s">
        <v>277</v>
      </c>
      <c r="C33" t="s">
        <v>277</v>
      </c>
      <c r="D33">
        <v>1</v>
      </c>
    </row>
    <row r="34" spans="1:4" x14ac:dyDescent="0.25">
      <c r="A34" s="6" t="s">
        <v>309</v>
      </c>
      <c r="B34" s="6" t="s">
        <v>371</v>
      </c>
      <c r="C34" t="s">
        <v>276</v>
      </c>
      <c r="D34">
        <v>1</v>
      </c>
    </row>
    <row r="35" spans="1:4" x14ac:dyDescent="0.25">
      <c r="A35" s="6" t="s">
        <v>310</v>
      </c>
      <c r="B35" s="6" t="s">
        <v>277</v>
      </c>
      <c r="C35" t="s">
        <v>277</v>
      </c>
      <c r="D35">
        <v>1</v>
      </c>
    </row>
    <row r="36" spans="1:4" x14ac:dyDescent="0.25">
      <c r="A36" s="6" t="s">
        <v>311</v>
      </c>
      <c r="B36" s="6" t="s">
        <v>277</v>
      </c>
      <c r="C36" t="s">
        <v>277</v>
      </c>
      <c r="D36">
        <v>1</v>
      </c>
    </row>
    <row r="37" spans="1:4" x14ac:dyDescent="0.25">
      <c r="A37" s="6" t="s">
        <v>312</v>
      </c>
      <c r="B37" s="6" t="s">
        <v>371</v>
      </c>
      <c r="C37" t="s">
        <v>274</v>
      </c>
      <c r="D37">
        <v>1</v>
      </c>
    </row>
    <row r="38" spans="1:4" x14ac:dyDescent="0.25">
      <c r="A38" s="6" t="s">
        <v>375</v>
      </c>
      <c r="B38" s="6" t="s">
        <v>371</v>
      </c>
      <c r="C38" t="s">
        <v>274</v>
      </c>
      <c r="D38">
        <v>1</v>
      </c>
    </row>
    <row r="39" spans="1:4" x14ac:dyDescent="0.25">
      <c r="A39" s="6" t="s">
        <v>313</v>
      </c>
      <c r="B39" s="6" t="s">
        <v>371</v>
      </c>
      <c r="C39" t="s">
        <v>274</v>
      </c>
      <c r="D39">
        <v>1</v>
      </c>
    </row>
    <row r="40" spans="1:4" x14ac:dyDescent="0.25">
      <c r="A40" s="6" t="s">
        <v>314</v>
      </c>
      <c r="B40" s="6" t="s">
        <v>371</v>
      </c>
      <c r="C40" t="s">
        <v>274</v>
      </c>
      <c r="D40">
        <v>1</v>
      </c>
    </row>
    <row r="41" spans="1:4" x14ac:dyDescent="0.25">
      <c r="A41" s="6" t="s">
        <v>315</v>
      </c>
      <c r="B41" s="6" t="s">
        <v>371</v>
      </c>
      <c r="C41" t="s">
        <v>276</v>
      </c>
      <c r="D41">
        <v>1</v>
      </c>
    </row>
    <row r="42" spans="1:4" x14ac:dyDescent="0.25">
      <c r="A42" s="6" t="s">
        <v>316</v>
      </c>
      <c r="B42" s="6" t="s">
        <v>373</v>
      </c>
      <c r="C42" t="s">
        <v>274</v>
      </c>
      <c r="D42">
        <v>1</v>
      </c>
    </row>
    <row r="43" spans="1:4" x14ac:dyDescent="0.25">
      <c r="A43" s="6" t="s">
        <v>317</v>
      </c>
      <c r="B43" s="6" t="s">
        <v>371</v>
      </c>
      <c r="C43" t="s">
        <v>276</v>
      </c>
      <c r="D43">
        <v>1</v>
      </c>
    </row>
    <row r="44" spans="1:4" x14ac:dyDescent="0.25">
      <c r="A44" s="6" t="s">
        <v>318</v>
      </c>
      <c r="B44" s="6" t="s">
        <v>371</v>
      </c>
      <c r="C44" t="s">
        <v>274</v>
      </c>
      <c r="D44">
        <v>1</v>
      </c>
    </row>
    <row r="45" spans="1:4" x14ac:dyDescent="0.25">
      <c r="A45" s="6" t="s">
        <v>319</v>
      </c>
      <c r="B45" s="6" t="s">
        <v>371</v>
      </c>
      <c r="C45" t="s">
        <v>276</v>
      </c>
      <c r="D45">
        <v>1</v>
      </c>
    </row>
    <row r="46" spans="1:4" x14ac:dyDescent="0.25">
      <c r="A46" s="6" t="s">
        <v>320</v>
      </c>
      <c r="B46" s="6" t="s">
        <v>371</v>
      </c>
      <c r="C46" t="s">
        <v>274</v>
      </c>
      <c r="D46">
        <v>1</v>
      </c>
    </row>
    <row r="47" spans="1:4" x14ac:dyDescent="0.25">
      <c r="A47" s="6" t="s">
        <v>321</v>
      </c>
      <c r="B47" s="6" t="s">
        <v>371</v>
      </c>
      <c r="C47" t="s">
        <v>276</v>
      </c>
      <c r="D47">
        <v>1</v>
      </c>
    </row>
    <row r="48" spans="1:4" x14ac:dyDescent="0.25">
      <c r="A48" s="6" t="s">
        <v>322</v>
      </c>
      <c r="B48" s="6" t="s">
        <v>371</v>
      </c>
      <c r="C48" t="s">
        <v>276</v>
      </c>
      <c r="D48">
        <v>1</v>
      </c>
    </row>
    <row r="49" spans="1:4" x14ac:dyDescent="0.25">
      <c r="A49" s="6" t="s">
        <v>323</v>
      </c>
      <c r="B49" s="6" t="s">
        <v>371</v>
      </c>
      <c r="C49" t="s">
        <v>274</v>
      </c>
      <c r="D49">
        <v>1</v>
      </c>
    </row>
    <row r="50" spans="1:4" x14ac:dyDescent="0.25">
      <c r="A50" s="6" t="s">
        <v>324</v>
      </c>
      <c r="B50" s="6" t="s">
        <v>371</v>
      </c>
      <c r="C50" t="s">
        <v>274</v>
      </c>
      <c r="D50">
        <v>1</v>
      </c>
    </row>
    <row r="51" spans="1:4" x14ac:dyDescent="0.25">
      <c r="A51" s="6" t="s">
        <v>325</v>
      </c>
      <c r="B51" s="6" t="s">
        <v>371</v>
      </c>
      <c r="C51" t="s">
        <v>274</v>
      </c>
      <c r="D51">
        <v>1</v>
      </c>
    </row>
    <row r="52" spans="1:4" x14ac:dyDescent="0.25">
      <c r="A52" s="6" t="s">
        <v>326</v>
      </c>
      <c r="B52" s="6" t="s">
        <v>371</v>
      </c>
      <c r="C52" t="s">
        <v>274</v>
      </c>
      <c r="D52">
        <v>1</v>
      </c>
    </row>
    <row r="53" spans="1:4" x14ac:dyDescent="0.25">
      <c r="A53" s="6" t="s">
        <v>327</v>
      </c>
      <c r="B53" s="6" t="s">
        <v>277</v>
      </c>
      <c r="C53" t="s">
        <v>277</v>
      </c>
      <c r="D53">
        <v>1</v>
      </c>
    </row>
    <row r="54" spans="1:4" x14ac:dyDescent="0.25">
      <c r="A54" s="6" t="s">
        <v>328</v>
      </c>
      <c r="B54" s="6" t="s">
        <v>277</v>
      </c>
      <c r="C54" t="s">
        <v>277</v>
      </c>
      <c r="D54">
        <v>1</v>
      </c>
    </row>
    <row r="55" spans="1:4" x14ac:dyDescent="0.25">
      <c r="A55" s="6" t="s">
        <v>329</v>
      </c>
      <c r="B55" s="6" t="s">
        <v>277</v>
      </c>
      <c r="C55" t="s">
        <v>277</v>
      </c>
      <c r="D55">
        <v>1</v>
      </c>
    </row>
    <row r="56" spans="1:4" x14ac:dyDescent="0.25">
      <c r="A56" s="6" t="s">
        <v>330</v>
      </c>
      <c r="B56" s="6" t="s">
        <v>277</v>
      </c>
      <c r="C56" t="s">
        <v>277</v>
      </c>
      <c r="D56">
        <v>1</v>
      </c>
    </row>
    <row r="57" spans="1:4" x14ac:dyDescent="0.25">
      <c r="A57" s="6" t="s">
        <v>331</v>
      </c>
      <c r="B57" s="6" t="s">
        <v>277</v>
      </c>
      <c r="C57" t="s">
        <v>277</v>
      </c>
      <c r="D57">
        <v>1</v>
      </c>
    </row>
    <row r="58" spans="1:4" x14ac:dyDescent="0.25">
      <c r="A58" s="6" t="s">
        <v>332</v>
      </c>
      <c r="B58" s="6" t="s">
        <v>371</v>
      </c>
      <c r="C58" t="s">
        <v>274</v>
      </c>
      <c r="D58">
        <v>1</v>
      </c>
    </row>
    <row r="59" spans="1:4" x14ac:dyDescent="0.25">
      <c r="A59" s="6" t="s">
        <v>333</v>
      </c>
      <c r="B59" s="6" t="s">
        <v>371</v>
      </c>
      <c r="C59" t="s">
        <v>276</v>
      </c>
      <c r="D59">
        <v>1</v>
      </c>
    </row>
    <row r="60" spans="1:4" x14ac:dyDescent="0.25">
      <c r="A60" s="6" t="s">
        <v>334</v>
      </c>
      <c r="B60" s="6" t="s">
        <v>371</v>
      </c>
      <c r="C60" t="s">
        <v>276</v>
      </c>
      <c r="D60">
        <v>1</v>
      </c>
    </row>
    <row r="61" spans="1:4" x14ac:dyDescent="0.25">
      <c r="A61" s="6" t="s">
        <v>335</v>
      </c>
      <c r="B61" s="6" t="s">
        <v>371</v>
      </c>
      <c r="C61" t="s">
        <v>274</v>
      </c>
      <c r="D61">
        <v>1</v>
      </c>
    </row>
    <row r="62" spans="1:4" x14ac:dyDescent="0.25">
      <c r="A62" s="6" t="s">
        <v>336</v>
      </c>
      <c r="B62" s="6" t="s">
        <v>277</v>
      </c>
      <c r="C62" t="s">
        <v>277</v>
      </c>
      <c r="D62">
        <v>1</v>
      </c>
    </row>
    <row r="63" spans="1:4" x14ac:dyDescent="0.25">
      <c r="A63" s="6" t="s">
        <v>337</v>
      </c>
      <c r="B63" s="6" t="s">
        <v>277</v>
      </c>
      <c r="C63" t="s">
        <v>277</v>
      </c>
      <c r="D63">
        <v>1</v>
      </c>
    </row>
    <row r="64" spans="1:4" x14ac:dyDescent="0.25">
      <c r="A64" s="6" t="s">
        <v>338</v>
      </c>
      <c r="B64" s="6" t="s">
        <v>277</v>
      </c>
      <c r="C64" t="s">
        <v>277</v>
      </c>
      <c r="D64">
        <v>1</v>
      </c>
    </row>
    <row r="65" spans="1:4" x14ac:dyDescent="0.25">
      <c r="A65" s="6" t="s">
        <v>339</v>
      </c>
      <c r="B65" s="6" t="s">
        <v>277</v>
      </c>
      <c r="C65" t="s">
        <v>277</v>
      </c>
      <c r="D65">
        <v>1</v>
      </c>
    </row>
    <row r="66" spans="1:4" x14ac:dyDescent="0.25">
      <c r="A66" s="6" t="s">
        <v>340</v>
      </c>
      <c r="B66" s="6" t="s">
        <v>371</v>
      </c>
      <c r="C66" t="s">
        <v>275</v>
      </c>
      <c r="D66">
        <v>1</v>
      </c>
    </row>
    <row r="67" spans="1:4" x14ac:dyDescent="0.25">
      <c r="A67" s="6" t="s">
        <v>341</v>
      </c>
      <c r="B67" s="6" t="s">
        <v>371</v>
      </c>
      <c r="C67" t="s">
        <v>274</v>
      </c>
      <c r="D67">
        <v>1</v>
      </c>
    </row>
    <row r="68" spans="1:4" x14ac:dyDescent="0.25">
      <c r="A68" s="6" t="s">
        <v>342</v>
      </c>
      <c r="B68" s="6" t="s">
        <v>371</v>
      </c>
      <c r="C68" t="s">
        <v>274</v>
      </c>
      <c r="D68">
        <v>1</v>
      </c>
    </row>
    <row r="69" spans="1:4" x14ac:dyDescent="0.25">
      <c r="A69" s="6" t="s">
        <v>343</v>
      </c>
      <c r="B69" s="6" t="s">
        <v>371</v>
      </c>
      <c r="C69" t="s">
        <v>274</v>
      </c>
      <c r="D69">
        <v>1</v>
      </c>
    </row>
    <row r="70" spans="1:4" x14ac:dyDescent="0.25">
      <c r="A70" s="6" t="s">
        <v>344</v>
      </c>
      <c r="B70" s="6" t="s">
        <v>371</v>
      </c>
      <c r="C70" t="s">
        <v>274</v>
      </c>
      <c r="D70">
        <v>1</v>
      </c>
    </row>
    <row r="71" spans="1:4" x14ac:dyDescent="0.25">
      <c r="A71" s="6" t="s">
        <v>345</v>
      </c>
      <c r="B71" s="6" t="s">
        <v>277</v>
      </c>
      <c r="C71" t="s">
        <v>277</v>
      </c>
      <c r="D71">
        <v>1</v>
      </c>
    </row>
    <row r="72" spans="1:4" x14ac:dyDescent="0.25">
      <c r="A72" s="6" t="s">
        <v>346</v>
      </c>
      <c r="B72" s="6" t="s">
        <v>277</v>
      </c>
      <c r="C72" t="s">
        <v>277</v>
      </c>
      <c r="D72">
        <v>1</v>
      </c>
    </row>
    <row r="73" spans="1:4" x14ac:dyDescent="0.25">
      <c r="A73" s="6" t="s">
        <v>347</v>
      </c>
      <c r="B73" s="6" t="s">
        <v>277</v>
      </c>
      <c r="C73" t="s">
        <v>277</v>
      </c>
      <c r="D73">
        <v>1</v>
      </c>
    </row>
    <row r="74" spans="1:4" x14ac:dyDescent="0.25">
      <c r="A74" s="6" t="s">
        <v>348</v>
      </c>
      <c r="B74" s="6" t="s">
        <v>277</v>
      </c>
      <c r="C74" t="s">
        <v>277</v>
      </c>
      <c r="D74">
        <v>1</v>
      </c>
    </row>
    <row r="75" spans="1:4" x14ac:dyDescent="0.25">
      <c r="A75" s="6" t="s">
        <v>349</v>
      </c>
      <c r="B75" s="6" t="s">
        <v>371</v>
      </c>
      <c r="C75" t="s">
        <v>276</v>
      </c>
      <c r="D75">
        <v>1</v>
      </c>
    </row>
    <row r="76" spans="1:4" x14ac:dyDescent="0.25">
      <c r="A76" s="6" t="s">
        <v>350</v>
      </c>
      <c r="B76" s="6" t="s">
        <v>371</v>
      </c>
      <c r="C76" t="s">
        <v>274</v>
      </c>
      <c r="D76">
        <v>1</v>
      </c>
    </row>
    <row r="77" spans="1:4" x14ac:dyDescent="0.25">
      <c r="A77" s="6" t="s">
        <v>351</v>
      </c>
      <c r="B77" s="6" t="s">
        <v>277</v>
      </c>
      <c r="C77" t="s">
        <v>277</v>
      </c>
      <c r="D77">
        <v>1</v>
      </c>
    </row>
    <row r="78" spans="1:4" x14ac:dyDescent="0.25">
      <c r="A78" s="6" t="s">
        <v>352</v>
      </c>
      <c r="B78" s="6" t="s">
        <v>277</v>
      </c>
      <c r="C78" t="s">
        <v>277</v>
      </c>
      <c r="D78">
        <v>1</v>
      </c>
    </row>
    <row r="79" spans="1:4" x14ac:dyDescent="0.25">
      <c r="A79" s="6" t="s">
        <v>353</v>
      </c>
      <c r="B79" s="6" t="s">
        <v>277</v>
      </c>
      <c r="C79" t="s">
        <v>277</v>
      </c>
      <c r="D79">
        <v>1</v>
      </c>
    </row>
    <row r="80" spans="1:4" x14ac:dyDescent="0.25">
      <c r="A80" s="6" t="s">
        <v>354</v>
      </c>
      <c r="B80" s="6" t="s">
        <v>371</v>
      </c>
      <c r="C80" t="s">
        <v>274</v>
      </c>
      <c r="D80">
        <v>1</v>
      </c>
    </row>
    <row r="81" spans="1:4" x14ac:dyDescent="0.25">
      <c r="A81" s="6" t="s">
        <v>355</v>
      </c>
      <c r="B81" s="6" t="s">
        <v>277</v>
      </c>
      <c r="C81" t="s">
        <v>277</v>
      </c>
      <c r="D81">
        <v>1</v>
      </c>
    </row>
    <row r="82" spans="1:4" x14ac:dyDescent="0.25">
      <c r="A82" s="6" t="s">
        <v>356</v>
      </c>
      <c r="B82" s="6" t="s">
        <v>371</v>
      </c>
      <c r="C82" t="s">
        <v>274</v>
      </c>
      <c r="D82">
        <v>1</v>
      </c>
    </row>
    <row r="83" spans="1:4" x14ac:dyDescent="0.25">
      <c r="A83" s="6" t="s">
        <v>357</v>
      </c>
      <c r="B83" s="6" t="s">
        <v>371</v>
      </c>
      <c r="C83" t="s">
        <v>274</v>
      </c>
      <c r="D83">
        <v>1</v>
      </c>
    </row>
    <row r="84" spans="1:4" x14ac:dyDescent="0.25">
      <c r="A84" s="6" t="s">
        <v>358</v>
      </c>
      <c r="B84" s="6" t="s">
        <v>371</v>
      </c>
      <c r="C84" t="s">
        <v>274</v>
      </c>
      <c r="D84">
        <v>1</v>
      </c>
    </row>
    <row r="85" spans="1:4" x14ac:dyDescent="0.25">
      <c r="A85" s="6" t="s">
        <v>359</v>
      </c>
      <c r="B85" s="6" t="s">
        <v>277</v>
      </c>
      <c r="C85" t="s">
        <v>277</v>
      </c>
      <c r="D85">
        <v>1</v>
      </c>
    </row>
    <row r="86" spans="1:4" x14ac:dyDescent="0.25">
      <c r="A86" s="6" t="s">
        <v>360</v>
      </c>
      <c r="B86" s="6" t="s">
        <v>277</v>
      </c>
      <c r="C86" t="s">
        <v>277</v>
      </c>
      <c r="D86">
        <v>0</v>
      </c>
    </row>
    <row r="87" spans="1:4" x14ac:dyDescent="0.25">
      <c r="A87" s="6" t="s">
        <v>361</v>
      </c>
      <c r="B87" s="6" t="s">
        <v>277</v>
      </c>
      <c r="C87" t="s">
        <v>277</v>
      </c>
      <c r="D87">
        <v>0</v>
      </c>
    </row>
    <row r="88" spans="1:4" x14ac:dyDescent="0.25">
      <c r="A88" s="6" t="s">
        <v>376</v>
      </c>
      <c r="B88" s="6" t="s">
        <v>277</v>
      </c>
      <c r="C88" t="s">
        <v>277</v>
      </c>
      <c r="D88">
        <v>0</v>
      </c>
    </row>
    <row r="89" spans="1:4" x14ac:dyDescent="0.25">
      <c r="A89" s="6" t="s">
        <v>377</v>
      </c>
      <c r="B89" s="6" t="s">
        <v>277</v>
      </c>
      <c r="C89" t="s">
        <v>277</v>
      </c>
      <c r="D89">
        <v>0</v>
      </c>
    </row>
    <row r="90" spans="1:4" x14ac:dyDescent="0.25">
      <c r="A90" s="6" t="s">
        <v>378</v>
      </c>
      <c r="B90" s="6" t="s">
        <v>277</v>
      </c>
      <c r="C90" t="s">
        <v>277</v>
      </c>
      <c r="D90">
        <v>0</v>
      </c>
    </row>
    <row r="91" spans="1:4" x14ac:dyDescent="0.25">
      <c r="A91" s="6" t="s">
        <v>545</v>
      </c>
      <c r="B91" s="6" t="s">
        <v>277</v>
      </c>
      <c r="C91" t="s">
        <v>277</v>
      </c>
      <c r="D91">
        <v>0</v>
      </c>
    </row>
    <row r="92" spans="1:4" x14ac:dyDescent="0.25">
      <c r="A92" s="6" t="s">
        <v>546</v>
      </c>
      <c r="B92" s="6" t="s">
        <v>277</v>
      </c>
      <c r="C92" t="s">
        <v>277</v>
      </c>
      <c r="D92">
        <v>0</v>
      </c>
    </row>
    <row r="93" spans="1:4" x14ac:dyDescent="0.25">
      <c r="A93" s="6" t="s">
        <v>547</v>
      </c>
      <c r="B93" s="6" t="s">
        <v>277</v>
      </c>
      <c r="C93" t="s">
        <v>277</v>
      </c>
      <c r="D93">
        <v>0</v>
      </c>
    </row>
    <row r="94" spans="1:4" x14ac:dyDescent="0.25">
      <c r="A94" s="6" t="s">
        <v>548</v>
      </c>
      <c r="B94" s="6" t="s">
        <v>277</v>
      </c>
      <c r="C94" t="s">
        <v>277</v>
      </c>
      <c r="D94">
        <v>0</v>
      </c>
    </row>
  </sheetData>
  <conditionalFormatting sqref="C2:C74 B3:B74 B75:C85">
    <cfRule type="expression" dxfId="109" priority="6">
      <formula>COUNTIF($P$3:$P$5,$C2)</formula>
    </cfRule>
  </conditionalFormatting>
  <conditionalFormatting sqref="B2:B85">
    <cfRule type="expression" dxfId="108" priority="5">
      <formula>COUNTIF($P$3:$P$5,$C2)</formula>
    </cfRule>
  </conditionalFormatting>
  <conditionalFormatting sqref="B3:B85">
    <cfRule type="expression" dxfId="107" priority="4">
      <formula>COUNTIF($P$3:$P$5,$C3)</formula>
    </cfRule>
  </conditionalFormatting>
  <conditionalFormatting sqref="B86:C94">
    <cfRule type="expression" dxfId="106" priority="3">
      <formula>COUNTIF($P$3:$P$5,$C86)</formula>
    </cfRule>
  </conditionalFormatting>
  <conditionalFormatting sqref="B86:B94">
    <cfRule type="expression" dxfId="105" priority="2">
      <formula>COUNTIF($P$3:$P$5,$C86)</formula>
    </cfRule>
  </conditionalFormatting>
  <conditionalFormatting sqref="B86:B94">
    <cfRule type="expression" dxfId="104" priority="1">
      <formula>COUNTIF($P$3:$P$5,$C86)</formula>
    </cfRule>
  </conditionalFormatting>
  <dataValidations count="2">
    <dataValidation type="list" allowBlank="1" showInputMessage="1" showErrorMessage="1" sqref="C2:C132">
      <formula1>importance</formula1>
    </dataValidation>
    <dataValidation type="list" allowBlank="1" showInputMessage="1" showErrorMessage="1" sqref="B2:B94">
      <formula1>continuity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workbookViewId="0"/>
  </sheetViews>
  <sheetFormatPr defaultRowHeight="15" x14ac:dyDescent="0.25"/>
  <cols>
    <col min="1" max="1" width="26.28515625" bestFit="1" customWidth="1"/>
    <col min="2" max="2" width="56.140625" bestFit="1" customWidth="1"/>
    <col min="3" max="3" width="10.42578125" bestFit="1" customWidth="1"/>
    <col min="6" max="6" width="14.140625" customWidth="1"/>
    <col min="8" max="8" width="26.7109375" bestFit="1" customWidth="1"/>
  </cols>
  <sheetData>
    <row r="1" spans="1:15" x14ac:dyDescent="0.25">
      <c r="A1" t="s">
        <v>529</v>
      </c>
      <c r="B1" t="s">
        <v>530</v>
      </c>
      <c r="C1" t="s">
        <v>245</v>
      </c>
      <c r="D1" t="s">
        <v>531</v>
      </c>
      <c r="E1" t="s">
        <v>533</v>
      </c>
      <c r="F1" t="s">
        <v>532</v>
      </c>
      <c r="I1" t="s">
        <v>535</v>
      </c>
      <c r="J1" t="s">
        <v>536</v>
      </c>
      <c r="K1" t="s">
        <v>537</v>
      </c>
      <c r="L1" t="s">
        <v>538</v>
      </c>
      <c r="M1" t="s">
        <v>539</v>
      </c>
      <c r="N1" t="s">
        <v>254</v>
      </c>
      <c r="O1" t="s">
        <v>540</v>
      </c>
    </row>
    <row r="2" spans="1:15" x14ac:dyDescent="0.25">
      <c r="A2" t="s">
        <v>383</v>
      </c>
      <c r="B2" t="s">
        <v>384</v>
      </c>
      <c r="C2" t="s">
        <v>248</v>
      </c>
      <c r="H2" t="s">
        <v>541</v>
      </c>
    </row>
    <row r="3" spans="1:15" x14ac:dyDescent="0.25">
      <c r="A3" t="s">
        <v>385</v>
      </c>
      <c r="B3" t="s">
        <v>386</v>
      </c>
      <c r="C3" t="s">
        <v>248</v>
      </c>
      <c r="H3" t="s">
        <v>542</v>
      </c>
    </row>
    <row r="4" spans="1:15" x14ac:dyDescent="0.25">
      <c r="A4" t="s">
        <v>387</v>
      </c>
      <c r="B4" t="s">
        <v>388</v>
      </c>
      <c r="C4" t="s">
        <v>248</v>
      </c>
    </row>
    <row r="5" spans="1:15" x14ac:dyDescent="0.25">
      <c r="A5" t="s">
        <v>389</v>
      </c>
      <c r="B5" t="s">
        <v>390</v>
      </c>
      <c r="C5" t="s">
        <v>248</v>
      </c>
    </row>
    <row r="6" spans="1:15" x14ac:dyDescent="0.25">
      <c r="A6" t="s">
        <v>391</v>
      </c>
      <c r="B6" t="s">
        <v>501</v>
      </c>
      <c r="C6" t="s">
        <v>248</v>
      </c>
    </row>
    <row r="7" spans="1:15" x14ac:dyDescent="0.25">
      <c r="A7" t="s">
        <v>392</v>
      </c>
      <c r="B7" t="s">
        <v>393</v>
      </c>
      <c r="C7" t="s">
        <v>248</v>
      </c>
    </row>
    <row r="8" spans="1:15" x14ac:dyDescent="0.25">
      <c r="A8" t="s">
        <v>394</v>
      </c>
      <c r="B8" t="s">
        <v>395</v>
      </c>
      <c r="C8" t="s">
        <v>248</v>
      </c>
      <c r="H8" t="s">
        <v>543</v>
      </c>
      <c r="I8">
        <v>1</v>
      </c>
      <c r="J8">
        <v>1</v>
      </c>
      <c r="K8">
        <v>1</v>
      </c>
      <c r="L8">
        <v>2</v>
      </c>
      <c r="M8">
        <v>1</v>
      </c>
      <c r="N8">
        <v>3</v>
      </c>
      <c r="O8">
        <v>0</v>
      </c>
    </row>
    <row r="9" spans="1:15" x14ac:dyDescent="0.25">
      <c r="A9" t="s">
        <v>396</v>
      </c>
      <c r="B9" t="s">
        <v>397</v>
      </c>
      <c r="C9" t="s">
        <v>248</v>
      </c>
    </row>
    <row r="10" spans="1:15" x14ac:dyDescent="0.25">
      <c r="A10" t="s">
        <v>398</v>
      </c>
      <c r="B10" t="s">
        <v>399</v>
      </c>
      <c r="C10" t="s">
        <v>248</v>
      </c>
    </row>
    <row r="11" spans="1:15" x14ac:dyDescent="0.25">
      <c r="A11" t="s">
        <v>400</v>
      </c>
      <c r="B11" t="s">
        <v>500</v>
      </c>
      <c r="C11" t="s">
        <v>246</v>
      </c>
    </row>
    <row r="12" spans="1:15" x14ac:dyDescent="0.25">
      <c r="A12" t="s">
        <v>401</v>
      </c>
      <c r="B12" t="s">
        <v>402</v>
      </c>
      <c r="C12" t="s">
        <v>246</v>
      </c>
    </row>
    <row r="13" spans="1:15" x14ac:dyDescent="0.25">
      <c r="A13" t="s">
        <v>403</v>
      </c>
      <c r="B13" t="s">
        <v>404</v>
      </c>
      <c r="C13" t="s">
        <v>246</v>
      </c>
    </row>
    <row r="14" spans="1:15" x14ac:dyDescent="0.25">
      <c r="A14" t="s">
        <v>405</v>
      </c>
      <c r="B14" t="s">
        <v>406</v>
      </c>
      <c r="C14" t="s">
        <v>246</v>
      </c>
    </row>
    <row r="15" spans="1:15" x14ac:dyDescent="0.25">
      <c r="A15" t="s">
        <v>407</v>
      </c>
      <c r="B15" t="s">
        <v>408</v>
      </c>
      <c r="C15" t="s">
        <v>246</v>
      </c>
    </row>
    <row r="16" spans="1:15" x14ac:dyDescent="0.25">
      <c r="A16" t="s">
        <v>409</v>
      </c>
      <c r="B16" t="s">
        <v>384</v>
      </c>
      <c r="C16" t="s">
        <v>246</v>
      </c>
      <c r="H16" s="42" t="s">
        <v>544</v>
      </c>
      <c r="I16">
        <v>2</v>
      </c>
      <c r="J16">
        <v>2</v>
      </c>
      <c r="K16">
        <v>3</v>
      </c>
      <c r="L16">
        <v>2</v>
      </c>
      <c r="M16">
        <v>3</v>
      </c>
      <c r="N16">
        <v>3</v>
      </c>
      <c r="O16">
        <v>1</v>
      </c>
    </row>
    <row r="17" spans="1:8" x14ac:dyDescent="0.25">
      <c r="A17" t="s">
        <v>410</v>
      </c>
      <c r="B17" t="s">
        <v>411</v>
      </c>
      <c r="C17" t="s">
        <v>246</v>
      </c>
    </row>
    <row r="18" spans="1:8" x14ac:dyDescent="0.25">
      <c r="A18" t="s">
        <v>412</v>
      </c>
      <c r="B18" t="s">
        <v>413</v>
      </c>
      <c r="C18" t="s">
        <v>246</v>
      </c>
    </row>
    <row r="19" spans="1:8" x14ac:dyDescent="0.25">
      <c r="A19" t="s">
        <v>414</v>
      </c>
      <c r="B19" t="s">
        <v>415</v>
      </c>
      <c r="C19" t="s">
        <v>246</v>
      </c>
    </row>
    <row r="20" spans="1:8" x14ac:dyDescent="0.25">
      <c r="A20" t="s">
        <v>416</v>
      </c>
      <c r="B20" t="s">
        <v>417</v>
      </c>
      <c r="C20" t="s">
        <v>246</v>
      </c>
    </row>
    <row r="21" spans="1:8" x14ac:dyDescent="0.25">
      <c r="A21" t="s">
        <v>418</v>
      </c>
      <c r="B21" t="s">
        <v>419</v>
      </c>
      <c r="C21" t="s">
        <v>246</v>
      </c>
      <c r="H21" s="42"/>
    </row>
    <row r="22" spans="1:8" x14ac:dyDescent="0.25">
      <c r="A22" t="s">
        <v>420</v>
      </c>
      <c r="B22" t="s">
        <v>505</v>
      </c>
      <c r="C22" t="s">
        <v>247</v>
      </c>
    </row>
    <row r="23" spans="1:8" x14ac:dyDescent="0.25">
      <c r="A23" t="s">
        <v>421</v>
      </c>
      <c r="B23" t="s">
        <v>505</v>
      </c>
      <c r="C23" t="s">
        <v>247</v>
      </c>
    </row>
    <row r="24" spans="1:8" x14ac:dyDescent="0.25">
      <c r="A24" t="s">
        <v>422</v>
      </c>
      <c r="B24" t="s">
        <v>423</v>
      </c>
      <c r="C24" t="s">
        <v>247</v>
      </c>
    </row>
    <row r="25" spans="1:8" x14ac:dyDescent="0.25">
      <c r="A25" t="s">
        <v>424</v>
      </c>
      <c r="B25" t="s">
        <v>388</v>
      </c>
      <c r="C25" t="s">
        <v>247</v>
      </c>
    </row>
    <row r="26" spans="1:8" x14ac:dyDescent="0.25">
      <c r="A26" t="s">
        <v>425</v>
      </c>
      <c r="B26" t="s">
        <v>426</v>
      </c>
      <c r="C26" t="s">
        <v>247</v>
      </c>
    </row>
    <row r="27" spans="1:8" x14ac:dyDescent="0.25">
      <c r="A27" t="s">
        <v>427</v>
      </c>
      <c r="B27" t="s">
        <v>428</v>
      </c>
      <c r="C27" t="s">
        <v>247</v>
      </c>
    </row>
    <row r="28" spans="1:8" x14ac:dyDescent="0.25">
      <c r="A28" t="s">
        <v>429</v>
      </c>
      <c r="B28" t="s">
        <v>430</v>
      </c>
      <c r="C28" t="s">
        <v>247</v>
      </c>
    </row>
    <row r="29" spans="1:8" x14ac:dyDescent="0.25">
      <c r="A29" t="s">
        <v>431</v>
      </c>
      <c r="B29" t="s">
        <v>504</v>
      </c>
      <c r="C29" t="s">
        <v>247</v>
      </c>
    </row>
    <row r="30" spans="1:8" x14ac:dyDescent="0.25">
      <c r="A30" t="s">
        <v>432</v>
      </c>
      <c r="B30" t="s">
        <v>433</v>
      </c>
      <c r="C30" t="s">
        <v>247</v>
      </c>
    </row>
    <row r="31" spans="1:8" x14ac:dyDescent="0.25">
      <c r="A31" t="s">
        <v>434</v>
      </c>
      <c r="B31" t="s">
        <v>435</v>
      </c>
      <c r="C31" t="s">
        <v>247</v>
      </c>
    </row>
    <row r="32" spans="1:8" x14ac:dyDescent="0.25">
      <c r="A32" t="s">
        <v>436</v>
      </c>
      <c r="B32" t="s">
        <v>437</v>
      </c>
      <c r="C32" t="s">
        <v>247</v>
      </c>
    </row>
    <row r="33" spans="1:6" x14ac:dyDescent="0.25">
      <c r="A33" t="s">
        <v>438</v>
      </c>
      <c r="B33" t="s">
        <v>504</v>
      </c>
      <c r="C33" t="s">
        <v>247</v>
      </c>
    </row>
    <row r="34" spans="1:6" x14ac:dyDescent="0.25">
      <c r="A34" t="s">
        <v>439</v>
      </c>
      <c r="B34" t="s">
        <v>437</v>
      </c>
      <c r="C34" t="s">
        <v>247</v>
      </c>
    </row>
    <row r="35" spans="1:6" x14ac:dyDescent="0.25">
      <c r="A35" t="s">
        <v>440</v>
      </c>
      <c r="B35" t="s">
        <v>503</v>
      </c>
      <c r="C35" t="s">
        <v>247</v>
      </c>
    </row>
    <row r="36" spans="1:6" x14ac:dyDescent="0.25">
      <c r="A36" t="s">
        <v>441</v>
      </c>
      <c r="B36" t="s">
        <v>442</v>
      </c>
      <c r="C36" t="s">
        <v>249</v>
      </c>
    </row>
    <row r="37" spans="1:6" x14ac:dyDescent="0.25">
      <c r="A37" t="s">
        <v>443</v>
      </c>
      <c r="B37" t="s">
        <v>388</v>
      </c>
      <c r="C37" t="s">
        <v>249</v>
      </c>
    </row>
    <row r="38" spans="1:6" x14ac:dyDescent="0.25">
      <c r="A38" t="s">
        <v>444</v>
      </c>
      <c r="B38" t="s">
        <v>445</v>
      </c>
      <c r="C38" t="s">
        <v>249</v>
      </c>
    </row>
    <row r="39" spans="1:6" x14ac:dyDescent="0.25">
      <c r="A39" t="s">
        <v>446</v>
      </c>
      <c r="B39" t="s">
        <v>447</v>
      </c>
      <c r="C39" t="s">
        <v>249</v>
      </c>
    </row>
    <row r="40" spans="1:6" x14ac:dyDescent="0.25">
      <c r="A40" t="s">
        <v>448</v>
      </c>
      <c r="B40" t="s">
        <v>449</v>
      </c>
      <c r="C40" t="s">
        <v>249</v>
      </c>
    </row>
    <row r="41" spans="1:6" x14ac:dyDescent="0.25">
      <c r="A41" t="s">
        <v>450</v>
      </c>
      <c r="B41" t="s">
        <v>502</v>
      </c>
      <c r="C41" t="s">
        <v>249</v>
      </c>
    </row>
    <row r="42" spans="1:6" x14ac:dyDescent="0.25">
      <c r="A42" t="s">
        <v>451</v>
      </c>
      <c r="B42" t="s">
        <v>433</v>
      </c>
      <c r="C42" t="s">
        <v>249</v>
      </c>
      <c r="F42" t="s">
        <v>534</v>
      </c>
    </row>
    <row r="43" spans="1:6" x14ac:dyDescent="0.25">
      <c r="A43" t="s">
        <v>452</v>
      </c>
      <c r="B43" t="s">
        <v>453</v>
      </c>
      <c r="C43" t="s">
        <v>249</v>
      </c>
    </row>
    <row r="44" spans="1:6" x14ac:dyDescent="0.25">
      <c r="A44" t="s">
        <v>454</v>
      </c>
      <c r="B44" t="s">
        <v>455</v>
      </c>
      <c r="C44" t="s">
        <v>249</v>
      </c>
    </row>
    <row r="45" spans="1:6" x14ac:dyDescent="0.25">
      <c r="A45" t="s">
        <v>456</v>
      </c>
      <c r="B45" t="s">
        <v>402</v>
      </c>
      <c r="C45" t="s">
        <v>249</v>
      </c>
    </row>
    <row r="46" spans="1:6" x14ac:dyDescent="0.25">
      <c r="A46" t="s">
        <v>457</v>
      </c>
      <c r="B46" t="s">
        <v>458</v>
      </c>
      <c r="C46" t="s">
        <v>249</v>
      </c>
    </row>
    <row r="47" spans="1:6" x14ac:dyDescent="0.25">
      <c r="A47" t="s">
        <v>459</v>
      </c>
      <c r="B47" t="s">
        <v>460</v>
      </c>
      <c r="C47" t="s">
        <v>249</v>
      </c>
    </row>
    <row r="48" spans="1:6" x14ac:dyDescent="0.25">
      <c r="A48" t="s">
        <v>461</v>
      </c>
      <c r="B48" t="s">
        <v>411</v>
      </c>
      <c r="C48" t="s">
        <v>250</v>
      </c>
    </row>
    <row r="49" spans="1:6" x14ac:dyDescent="0.25">
      <c r="A49" t="s">
        <v>462</v>
      </c>
      <c r="B49" t="s">
        <v>384</v>
      </c>
      <c r="C49" t="s">
        <v>250</v>
      </c>
    </row>
    <row r="50" spans="1:6" x14ac:dyDescent="0.25">
      <c r="A50" t="s">
        <v>463</v>
      </c>
      <c r="B50" t="s">
        <v>411</v>
      </c>
      <c r="C50" t="s">
        <v>250</v>
      </c>
    </row>
    <row r="51" spans="1:6" x14ac:dyDescent="0.25">
      <c r="A51" t="s">
        <v>464</v>
      </c>
      <c r="B51" t="s">
        <v>465</v>
      </c>
      <c r="C51" t="s">
        <v>250</v>
      </c>
    </row>
    <row r="52" spans="1:6" x14ac:dyDescent="0.25">
      <c r="A52" t="s">
        <v>466</v>
      </c>
      <c r="B52" t="s">
        <v>467</v>
      </c>
      <c r="C52" t="s">
        <v>250</v>
      </c>
    </row>
    <row r="53" spans="1:6" x14ac:dyDescent="0.25">
      <c r="A53" t="s">
        <v>468</v>
      </c>
      <c r="B53" t="s">
        <v>442</v>
      </c>
      <c r="C53" t="s">
        <v>250</v>
      </c>
    </row>
    <row r="54" spans="1:6" x14ac:dyDescent="0.25">
      <c r="A54" t="s">
        <v>469</v>
      </c>
      <c r="B54" t="s">
        <v>470</v>
      </c>
      <c r="C54" t="s">
        <v>250</v>
      </c>
    </row>
    <row r="55" spans="1:6" x14ac:dyDescent="0.25">
      <c r="A55" t="s">
        <v>471</v>
      </c>
      <c r="B55" t="s">
        <v>395</v>
      </c>
      <c r="C55" t="s">
        <v>250</v>
      </c>
    </row>
    <row r="56" spans="1:6" x14ac:dyDescent="0.25">
      <c r="A56" t="s">
        <v>472</v>
      </c>
      <c r="B56" t="s">
        <v>473</v>
      </c>
      <c r="C56" t="s">
        <v>250</v>
      </c>
    </row>
    <row r="57" spans="1:6" x14ac:dyDescent="0.25">
      <c r="A57" t="s">
        <v>474</v>
      </c>
      <c r="B57" t="s">
        <v>475</v>
      </c>
      <c r="C57" t="s">
        <v>250</v>
      </c>
    </row>
    <row r="58" spans="1:6" x14ac:dyDescent="0.25">
      <c r="A58" t="s">
        <v>476</v>
      </c>
      <c r="B58" t="s">
        <v>477</v>
      </c>
      <c r="C58" t="s">
        <v>250</v>
      </c>
    </row>
    <row r="59" spans="1:6" x14ac:dyDescent="0.25">
      <c r="A59" t="s">
        <v>478</v>
      </c>
      <c r="B59" t="s">
        <v>479</v>
      </c>
      <c r="C59" t="s">
        <v>250</v>
      </c>
    </row>
    <row r="60" spans="1:6" x14ac:dyDescent="0.25">
      <c r="A60" t="s">
        <v>480</v>
      </c>
      <c r="B60" t="s">
        <v>481</v>
      </c>
      <c r="C60" t="s">
        <v>250</v>
      </c>
    </row>
    <row r="61" spans="1:6" x14ac:dyDescent="0.25">
      <c r="A61" t="s">
        <v>482</v>
      </c>
      <c r="B61" t="s">
        <v>433</v>
      </c>
      <c r="C61" t="s">
        <v>252</v>
      </c>
      <c r="F61" t="s">
        <v>534</v>
      </c>
    </row>
    <row r="62" spans="1:6" x14ac:dyDescent="0.25">
      <c r="A62" t="s">
        <v>483</v>
      </c>
      <c r="B62" t="s">
        <v>484</v>
      </c>
      <c r="C62" t="s">
        <v>252</v>
      </c>
    </row>
    <row r="63" spans="1:6" x14ac:dyDescent="0.25">
      <c r="A63" t="s">
        <v>485</v>
      </c>
      <c r="B63" t="s">
        <v>395</v>
      </c>
      <c r="C63" t="s">
        <v>252</v>
      </c>
    </row>
    <row r="64" spans="1:6" x14ac:dyDescent="0.25">
      <c r="A64" t="s">
        <v>486</v>
      </c>
      <c r="B64" t="s">
        <v>487</v>
      </c>
      <c r="C64" t="s">
        <v>252</v>
      </c>
    </row>
    <row r="65" spans="1:3" x14ac:dyDescent="0.25">
      <c r="A65" t="s">
        <v>488</v>
      </c>
      <c r="B65" t="s">
        <v>500</v>
      </c>
      <c r="C65" t="s">
        <v>252</v>
      </c>
    </row>
    <row r="66" spans="1:3" x14ac:dyDescent="0.25">
      <c r="A66" t="s">
        <v>489</v>
      </c>
      <c r="B66" t="s">
        <v>490</v>
      </c>
      <c r="C66" t="s">
        <v>252</v>
      </c>
    </row>
    <row r="67" spans="1:3" x14ac:dyDescent="0.25">
      <c r="A67" t="s">
        <v>491</v>
      </c>
      <c r="B67" t="s">
        <v>501</v>
      </c>
      <c r="C67" t="s">
        <v>252</v>
      </c>
    </row>
    <row r="68" spans="1:3" x14ac:dyDescent="0.25">
      <c r="A68" t="s">
        <v>492</v>
      </c>
      <c r="B68" t="s">
        <v>493</v>
      </c>
      <c r="C68" t="s">
        <v>252</v>
      </c>
    </row>
    <row r="69" spans="1:3" x14ac:dyDescent="0.25">
      <c r="A69" t="s">
        <v>494</v>
      </c>
      <c r="B69" t="s">
        <v>495</v>
      </c>
      <c r="C69" t="s">
        <v>252</v>
      </c>
    </row>
    <row r="70" spans="1:3" x14ac:dyDescent="0.25">
      <c r="A70" t="s">
        <v>496</v>
      </c>
      <c r="B70" t="s">
        <v>497</v>
      </c>
      <c r="C70" t="s">
        <v>252</v>
      </c>
    </row>
    <row r="71" spans="1:3" x14ac:dyDescent="0.25">
      <c r="A71" t="s">
        <v>498</v>
      </c>
      <c r="B71" t="s">
        <v>495</v>
      </c>
      <c r="C71" t="s">
        <v>252</v>
      </c>
    </row>
    <row r="72" spans="1:3" x14ac:dyDescent="0.25">
      <c r="A72" t="s">
        <v>499</v>
      </c>
      <c r="B72" t="s">
        <v>433</v>
      </c>
      <c r="C72" t="s">
        <v>252</v>
      </c>
    </row>
    <row r="73" spans="1:3" x14ac:dyDescent="0.25">
      <c r="A73" t="s">
        <v>506</v>
      </c>
      <c r="B73" t="s">
        <v>507</v>
      </c>
      <c r="C73" t="s">
        <v>528</v>
      </c>
    </row>
    <row r="74" spans="1:3" x14ac:dyDescent="0.25">
      <c r="A74" t="s">
        <v>508</v>
      </c>
      <c r="B74" t="s">
        <v>509</v>
      </c>
      <c r="C74" t="s">
        <v>528</v>
      </c>
    </row>
    <row r="75" spans="1:3" x14ac:dyDescent="0.25">
      <c r="A75" t="s">
        <v>510</v>
      </c>
      <c r="B75" t="s">
        <v>511</v>
      </c>
      <c r="C75" t="s">
        <v>528</v>
      </c>
    </row>
    <row r="76" spans="1:3" x14ac:dyDescent="0.25">
      <c r="A76" t="s">
        <v>512</v>
      </c>
      <c r="B76" t="s">
        <v>513</v>
      </c>
      <c r="C76" t="s">
        <v>528</v>
      </c>
    </row>
    <row r="77" spans="1:3" x14ac:dyDescent="0.25">
      <c r="A77" t="s">
        <v>514</v>
      </c>
      <c r="B77" t="s">
        <v>515</v>
      </c>
      <c r="C77" t="s">
        <v>528</v>
      </c>
    </row>
    <row r="78" spans="1:3" x14ac:dyDescent="0.25">
      <c r="A78" t="s">
        <v>516</v>
      </c>
      <c r="B78" t="s">
        <v>502</v>
      </c>
      <c r="C78" t="s">
        <v>528</v>
      </c>
    </row>
    <row r="79" spans="1:3" x14ac:dyDescent="0.25">
      <c r="A79" t="s">
        <v>517</v>
      </c>
      <c r="B79" t="s">
        <v>518</v>
      </c>
      <c r="C79" t="s">
        <v>528</v>
      </c>
    </row>
    <row r="80" spans="1:3" x14ac:dyDescent="0.25">
      <c r="A80" t="s">
        <v>519</v>
      </c>
      <c r="B80" t="s">
        <v>520</v>
      </c>
      <c r="C80" t="s">
        <v>528</v>
      </c>
    </row>
    <row r="81" spans="1:3" x14ac:dyDescent="0.25">
      <c r="A81" t="s">
        <v>521</v>
      </c>
      <c r="B81" t="s">
        <v>477</v>
      </c>
      <c r="C81" t="s">
        <v>528</v>
      </c>
    </row>
    <row r="82" spans="1:3" x14ac:dyDescent="0.25">
      <c r="A82" t="s">
        <v>522</v>
      </c>
      <c r="B82" t="s">
        <v>523</v>
      </c>
      <c r="C82" t="s">
        <v>528</v>
      </c>
    </row>
    <row r="83" spans="1:3" x14ac:dyDescent="0.25">
      <c r="A83" t="s">
        <v>524</v>
      </c>
      <c r="B83" t="s">
        <v>525</v>
      </c>
      <c r="C83" t="s">
        <v>528</v>
      </c>
    </row>
    <row r="84" spans="1:3" x14ac:dyDescent="0.25">
      <c r="A84" t="s">
        <v>526</v>
      </c>
      <c r="B84" t="s">
        <v>527</v>
      </c>
      <c r="C84" t="s">
        <v>528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2" max="2" width="6.140625" bestFit="1" customWidth="1"/>
    <col min="3" max="3" width="46.42578125" bestFit="1" customWidth="1"/>
    <col min="4" max="4" width="30.85546875" bestFit="1" customWidth="1"/>
    <col min="5" max="5" width="59" bestFit="1" customWidth="1"/>
    <col min="6" max="6" width="52.28515625" bestFit="1" customWidth="1"/>
    <col min="7" max="7" width="16.85546875" bestFit="1" customWidth="1"/>
  </cols>
  <sheetData>
    <row r="1" spans="1:7" x14ac:dyDescent="0.25">
      <c r="A1" s="7" t="s">
        <v>17</v>
      </c>
      <c r="B1" s="3" t="s">
        <v>20</v>
      </c>
      <c r="C1" s="3" t="s">
        <v>19</v>
      </c>
      <c r="D1" s="1" t="s">
        <v>2</v>
      </c>
      <c r="E1" s="1" t="s">
        <v>5</v>
      </c>
      <c r="F1" s="1" t="s">
        <v>6</v>
      </c>
      <c r="G1" s="1" t="s">
        <v>7</v>
      </c>
    </row>
    <row r="2" spans="1:7" x14ac:dyDescent="0.25">
      <c r="A2" s="8" t="s">
        <v>18</v>
      </c>
      <c r="B2" s="4">
        <v>1</v>
      </c>
      <c r="C2" s="4" t="s">
        <v>26</v>
      </c>
      <c r="D2" s="2" t="s">
        <v>27</v>
      </c>
      <c r="E2" s="2" t="s">
        <v>13</v>
      </c>
      <c r="F2" s="2" t="s">
        <v>557</v>
      </c>
      <c r="G2" s="2" t="s">
        <v>15</v>
      </c>
    </row>
    <row r="3" spans="1:7" x14ac:dyDescent="0.25">
      <c r="A3" s="8" t="s">
        <v>21</v>
      </c>
      <c r="B3" s="4">
        <f>2/3</f>
        <v>0.66666666666666663</v>
      </c>
      <c r="C3" s="4" t="s">
        <v>30</v>
      </c>
      <c r="D3" s="2" t="s">
        <v>27</v>
      </c>
      <c r="E3" s="2" t="s">
        <v>13</v>
      </c>
      <c r="F3" s="2" t="s">
        <v>557</v>
      </c>
      <c r="G3" s="2" t="s">
        <v>15</v>
      </c>
    </row>
    <row r="4" spans="1:7" x14ac:dyDescent="0.25">
      <c r="A4" s="8" t="s">
        <v>22</v>
      </c>
      <c r="B4" s="4">
        <f>1/3</f>
        <v>0.33333333333333331</v>
      </c>
      <c r="C4" s="4" t="s">
        <v>31</v>
      </c>
      <c r="D4" s="2" t="s">
        <v>27</v>
      </c>
      <c r="E4" s="2" t="s">
        <v>13</v>
      </c>
      <c r="F4" s="2" t="s">
        <v>557</v>
      </c>
      <c r="G4" s="2" t="s">
        <v>15</v>
      </c>
    </row>
    <row r="5" spans="1:7" x14ac:dyDescent="0.25">
      <c r="A5" s="8" t="s">
        <v>23</v>
      </c>
      <c r="B5" s="4">
        <v>0.5</v>
      </c>
      <c r="C5" s="4" t="s">
        <v>32</v>
      </c>
      <c r="D5" s="2" t="s">
        <v>27</v>
      </c>
      <c r="E5" s="2" t="s">
        <v>13</v>
      </c>
      <c r="F5" s="2" t="s">
        <v>557</v>
      </c>
      <c r="G5" s="5" t="s">
        <v>39</v>
      </c>
    </row>
    <row r="6" spans="1:7" x14ac:dyDescent="0.25">
      <c r="A6" s="8" t="s">
        <v>24</v>
      </c>
      <c r="B6" s="4">
        <v>0.5</v>
      </c>
      <c r="C6" s="4" t="s">
        <v>33</v>
      </c>
      <c r="D6" s="2" t="s">
        <v>27</v>
      </c>
      <c r="E6" s="5" t="s">
        <v>41</v>
      </c>
      <c r="F6" s="2" t="s">
        <v>557</v>
      </c>
      <c r="G6" s="2" t="s">
        <v>15</v>
      </c>
    </row>
    <row r="7" spans="1:7" x14ac:dyDescent="0.25">
      <c r="A7" s="8" t="s">
        <v>25</v>
      </c>
      <c r="B7" s="4">
        <v>0.5</v>
      </c>
      <c r="C7" s="4" t="s">
        <v>34</v>
      </c>
      <c r="D7" s="2" t="s">
        <v>27</v>
      </c>
      <c r="E7" s="2" t="s">
        <v>13</v>
      </c>
      <c r="F7" s="5" t="s">
        <v>14</v>
      </c>
      <c r="G7" s="2" t="s">
        <v>15</v>
      </c>
    </row>
    <row r="8" spans="1:7" x14ac:dyDescent="0.25">
      <c r="A8" s="8" t="s">
        <v>36</v>
      </c>
      <c r="B8" s="4">
        <v>0.25</v>
      </c>
      <c r="C8" s="4" t="s">
        <v>35</v>
      </c>
      <c r="D8" s="2" t="s">
        <v>27</v>
      </c>
      <c r="E8" s="2" t="s">
        <v>13</v>
      </c>
      <c r="F8" s="5" t="s">
        <v>40</v>
      </c>
      <c r="G8" s="2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5" x14ac:dyDescent="0.25"/>
  <cols>
    <col min="1" max="1" width="11.140625" customWidth="1"/>
    <col min="2" max="2" width="15.140625" bestFit="1" customWidth="1"/>
    <col min="3" max="3" width="37.42578125" bestFit="1" customWidth="1"/>
    <col min="4" max="4" width="23.28515625" bestFit="1" customWidth="1"/>
    <col min="5" max="5" width="19.140625" bestFit="1" customWidth="1"/>
    <col min="6" max="6" width="56.140625" bestFit="1" customWidth="1"/>
    <col min="7" max="7" width="30" bestFit="1" customWidth="1"/>
    <col min="8" max="8" width="15" bestFit="1" customWidth="1"/>
    <col min="9" max="9" width="37.42578125" bestFit="1" customWidth="1"/>
    <col min="10" max="10" width="52.140625" bestFit="1" customWidth="1"/>
    <col min="11" max="11" width="27.42578125" bestFit="1" customWidth="1"/>
  </cols>
  <sheetData>
    <row r="1" spans="1:11" x14ac:dyDescent="0.25">
      <c r="A1" s="44" t="s">
        <v>559</v>
      </c>
      <c r="B1" s="44" t="s">
        <v>55</v>
      </c>
      <c r="C1" s="44" t="s">
        <v>560</v>
      </c>
      <c r="D1" s="44" t="s">
        <v>128</v>
      </c>
      <c r="E1" s="44" t="s">
        <v>561</v>
      </c>
      <c r="F1" s="44" t="s">
        <v>562</v>
      </c>
      <c r="G1" s="44" t="s">
        <v>88</v>
      </c>
      <c r="H1" s="44" t="s">
        <v>58</v>
      </c>
      <c r="I1" s="44" t="s">
        <v>563</v>
      </c>
      <c r="J1" s="44" t="s">
        <v>564</v>
      </c>
      <c r="K1" s="44" t="s">
        <v>565</v>
      </c>
    </row>
    <row r="2" spans="1:11" x14ac:dyDescent="0.25">
      <c r="A2" t="s">
        <v>566</v>
      </c>
      <c r="B2" t="s">
        <v>55</v>
      </c>
      <c r="C2" t="s">
        <v>560</v>
      </c>
      <c r="D2" t="s">
        <v>128</v>
      </c>
      <c r="E2" t="s">
        <v>561</v>
      </c>
      <c r="F2" t="s">
        <v>562</v>
      </c>
      <c r="G2" t="s">
        <v>88</v>
      </c>
      <c r="H2" t="s">
        <v>58</v>
      </c>
      <c r="I2" t="s">
        <v>563</v>
      </c>
      <c r="J2" t="s">
        <v>564</v>
      </c>
      <c r="K2" t="s">
        <v>565</v>
      </c>
    </row>
    <row r="3" spans="1:11" x14ac:dyDescent="0.25">
      <c r="A3" t="s">
        <v>567</v>
      </c>
      <c r="B3" t="s">
        <v>568</v>
      </c>
      <c r="C3" t="s">
        <v>569</v>
      </c>
      <c r="D3" t="s">
        <v>570</v>
      </c>
      <c r="E3" t="s">
        <v>571</v>
      </c>
      <c r="F3" t="s">
        <v>572</v>
      </c>
      <c r="G3" t="s">
        <v>89</v>
      </c>
      <c r="H3" t="s">
        <v>573</v>
      </c>
      <c r="I3" t="s">
        <v>563</v>
      </c>
      <c r="J3" t="s">
        <v>564</v>
      </c>
      <c r="K3" t="s">
        <v>565</v>
      </c>
    </row>
    <row r="4" spans="1:11" x14ac:dyDescent="0.25">
      <c r="A4" t="s">
        <v>574</v>
      </c>
      <c r="B4" t="s">
        <v>568</v>
      </c>
      <c r="C4" t="s">
        <v>575</v>
      </c>
      <c r="D4" t="s">
        <v>570</v>
      </c>
      <c r="E4" t="s">
        <v>571</v>
      </c>
      <c r="F4" t="s">
        <v>572</v>
      </c>
      <c r="G4" t="s">
        <v>89</v>
      </c>
      <c r="H4" t="s">
        <v>58</v>
      </c>
      <c r="I4" t="s">
        <v>563</v>
      </c>
      <c r="J4" t="s">
        <v>564</v>
      </c>
      <c r="K4" t="s">
        <v>124</v>
      </c>
    </row>
    <row r="5" spans="1:11" x14ac:dyDescent="0.25">
      <c r="A5" t="s">
        <v>576</v>
      </c>
      <c r="B5" t="s">
        <v>568</v>
      </c>
      <c r="C5" t="s">
        <v>577</v>
      </c>
      <c r="D5" t="s">
        <v>128</v>
      </c>
      <c r="E5" t="s">
        <v>561</v>
      </c>
      <c r="F5" s="45" t="s">
        <v>578</v>
      </c>
      <c r="G5" t="s">
        <v>89</v>
      </c>
      <c r="H5" t="s">
        <v>58</v>
      </c>
      <c r="I5" t="s">
        <v>563</v>
      </c>
      <c r="J5" t="s">
        <v>564</v>
      </c>
      <c r="K5" t="s">
        <v>565</v>
      </c>
    </row>
    <row r="6" spans="1:11" x14ac:dyDescent="0.25">
      <c r="A6" t="s">
        <v>579</v>
      </c>
      <c r="B6" t="s">
        <v>568</v>
      </c>
      <c r="C6" t="s">
        <v>580</v>
      </c>
      <c r="D6" t="s">
        <v>128</v>
      </c>
      <c r="E6" t="s">
        <v>561</v>
      </c>
      <c r="F6" s="45" t="s">
        <v>578</v>
      </c>
      <c r="G6" t="s">
        <v>89</v>
      </c>
      <c r="H6" t="s">
        <v>573</v>
      </c>
      <c r="I6" t="s">
        <v>51</v>
      </c>
      <c r="J6" t="s">
        <v>151</v>
      </c>
      <c r="K6" t="s">
        <v>565</v>
      </c>
    </row>
    <row r="7" spans="1:11" x14ac:dyDescent="0.25">
      <c r="A7" t="s">
        <v>581</v>
      </c>
      <c r="B7" t="s">
        <v>568</v>
      </c>
      <c r="C7" t="s">
        <v>582</v>
      </c>
      <c r="D7" t="s">
        <v>128</v>
      </c>
      <c r="E7" t="s">
        <v>571</v>
      </c>
      <c r="F7" t="s">
        <v>583</v>
      </c>
      <c r="G7" t="s">
        <v>89</v>
      </c>
      <c r="H7" t="s">
        <v>573</v>
      </c>
      <c r="I7" t="s">
        <v>51</v>
      </c>
      <c r="J7" t="s">
        <v>151</v>
      </c>
      <c r="K7" t="s">
        <v>565</v>
      </c>
    </row>
    <row r="8" spans="1:11" x14ac:dyDescent="0.25">
      <c r="A8" t="s">
        <v>584</v>
      </c>
      <c r="B8" t="s">
        <v>568</v>
      </c>
      <c r="C8" t="s">
        <v>585</v>
      </c>
      <c r="D8" t="s">
        <v>128</v>
      </c>
      <c r="E8" t="s">
        <v>571</v>
      </c>
      <c r="F8" s="45" t="s">
        <v>586</v>
      </c>
      <c r="G8" t="s">
        <v>89</v>
      </c>
      <c r="H8" t="s">
        <v>573</v>
      </c>
      <c r="I8" t="s">
        <v>51</v>
      </c>
      <c r="J8" t="s">
        <v>151</v>
      </c>
      <c r="K8" t="s">
        <v>565</v>
      </c>
    </row>
    <row r="14" spans="1:11" x14ac:dyDescent="0.25">
      <c r="A14" t="s">
        <v>587</v>
      </c>
      <c r="B14" t="s">
        <v>588</v>
      </c>
      <c r="C14" t="s">
        <v>589</v>
      </c>
      <c r="D14" t="s">
        <v>590</v>
      </c>
      <c r="E14" t="s">
        <v>591</v>
      </c>
      <c r="F14" t="s">
        <v>592</v>
      </c>
      <c r="G14" t="s">
        <v>593</v>
      </c>
    </row>
    <row r="15" spans="1:11" x14ac:dyDescent="0.25">
      <c r="A15" t="s">
        <v>566</v>
      </c>
      <c r="B15" t="s">
        <v>55</v>
      </c>
      <c r="C15" t="s">
        <v>560</v>
      </c>
      <c r="D15" t="s">
        <v>128</v>
      </c>
      <c r="E15" t="s">
        <v>561</v>
      </c>
      <c r="F15" t="s">
        <v>562</v>
      </c>
      <c r="G15" t="s">
        <v>88</v>
      </c>
    </row>
    <row r="16" spans="1:11" x14ac:dyDescent="0.25">
      <c r="A16" t="s">
        <v>567</v>
      </c>
      <c r="B16" t="s">
        <v>568</v>
      </c>
      <c r="C16" t="s">
        <v>569</v>
      </c>
      <c r="D16" t="s">
        <v>570</v>
      </c>
      <c r="E16" t="s">
        <v>571</v>
      </c>
      <c r="F16" t="s">
        <v>572</v>
      </c>
      <c r="G16" t="s">
        <v>89</v>
      </c>
    </row>
    <row r="17" spans="1:7" x14ac:dyDescent="0.25">
      <c r="A17" t="s">
        <v>574</v>
      </c>
      <c r="B17" t="s">
        <v>568</v>
      </c>
      <c r="C17" t="s">
        <v>575</v>
      </c>
      <c r="D17" t="s">
        <v>570</v>
      </c>
      <c r="E17" t="s">
        <v>571</v>
      </c>
      <c r="F17" t="s">
        <v>572</v>
      </c>
      <c r="G17" t="s">
        <v>89</v>
      </c>
    </row>
    <row r="18" spans="1:7" x14ac:dyDescent="0.25">
      <c r="A18" t="s">
        <v>576</v>
      </c>
      <c r="B18" t="s">
        <v>568</v>
      </c>
      <c r="C18" t="s">
        <v>577</v>
      </c>
      <c r="D18" t="s">
        <v>128</v>
      </c>
      <c r="E18" t="s">
        <v>561</v>
      </c>
      <c r="F18" s="45" t="s">
        <v>578</v>
      </c>
      <c r="G18" t="s">
        <v>89</v>
      </c>
    </row>
    <row r="19" spans="1:7" x14ac:dyDescent="0.25">
      <c r="A19" t="s">
        <v>579</v>
      </c>
      <c r="B19" t="s">
        <v>568</v>
      </c>
      <c r="C19" t="s">
        <v>580</v>
      </c>
      <c r="D19" t="s">
        <v>128</v>
      </c>
      <c r="E19" t="s">
        <v>561</v>
      </c>
      <c r="F19" s="45" t="s">
        <v>578</v>
      </c>
      <c r="G19" t="s">
        <v>89</v>
      </c>
    </row>
    <row r="20" spans="1:7" x14ac:dyDescent="0.25">
      <c r="A20" t="s">
        <v>581</v>
      </c>
      <c r="B20" t="s">
        <v>568</v>
      </c>
      <c r="C20" t="s">
        <v>582</v>
      </c>
      <c r="D20" t="s">
        <v>128</v>
      </c>
      <c r="E20" t="s">
        <v>571</v>
      </c>
      <c r="F20" t="s">
        <v>583</v>
      </c>
      <c r="G20" t="s">
        <v>89</v>
      </c>
    </row>
    <row r="21" spans="1:7" x14ac:dyDescent="0.25">
      <c r="A21" t="s">
        <v>584</v>
      </c>
      <c r="B21" t="s">
        <v>568</v>
      </c>
      <c r="C21" t="s">
        <v>585</v>
      </c>
      <c r="D21" t="s">
        <v>128</v>
      </c>
      <c r="E21" t="s">
        <v>571</v>
      </c>
      <c r="F21" s="45" t="s">
        <v>586</v>
      </c>
      <c r="G21" t="s">
        <v>89</v>
      </c>
    </row>
  </sheetData>
  <conditionalFormatting sqref="C1:C8">
    <cfRule type="cellIs" dxfId="103" priority="33" operator="equal">
      <formula>"Illumination Active"</formula>
    </cfRule>
  </conditionalFormatting>
  <conditionalFormatting sqref="D1:D8 E1:K1">
    <cfRule type="cellIs" dxfId="102" priority="32" operator="equal">
      <formula>"All-weather yes"</formula>
    </cfRule>
  </conditionalFormatting>
  <conditionalFormatting sqref="E1:E8">
    <cfRule type="cellIs" dxfId="101" priority="31" operator="equal">
      <formula>"Day-Night Day-and-night"</formula>
    </cfRule>
  </conditionalFormatting>
  <conditionalFormatting sqref="F1:F8">
    <cfRule type="cellIs" dxfId="100" priority="30" operator="equal">
      <formula>"Penetration High-P-or-L-band"</formula>
    </cfRule>
  </conditionalFormatting>
  <conditionalFormatting sqref="G1:K1">
    <cfRule type="cellIs" dxfId="99" priority="29" operator="equal">
      <formula>"Polarimetry yes"</formula>
    </cfRule>
  </conditionalFormatting>
  <conditionalFormatting sqref="G1:G8 H1:K1">
    <cfRule type="cellIs" dxfId="98" priority="28" operator="equal">
      <formula>"ThreeD Some-3D-multi-angle"</formula>
    </cfRule>
  </conditionalFormatting>
  <conditionalFormatting sqref="H2:H8 H1:K1">
    <cfRule type="cellIs" dxfId="97" priority="26" operator="equal">
      <formula>"On-board-calibration High"</formula>
    </cfRule>
  </conditionalFormatting>
  <conditionalFormatting sqref="G1:G8">
    <cfRule type="cellIs" dxfId="96" priority="25" operator="equal">
      <formula>"ThreeD Full-3D"</formula>
    </cfRule>
  </conditionalFormatting>
  <conditionalFormatting sqref="H1:H8">
    <cfRule type="cellIs" dxfId="95" priority="23" operator="equal">
      <formula>"On-board-calibration High"</formula>
    </cfRule>
    <cfRule type="cellIs" dxfId="94" priority="24" operator="equal">
      <formula>"On-board-calibration Medium"</formula>
    </cfRule>
  </conditionalFormatting>
  <conditionalFormatting sqref="I1:I8">
    <cfRule type="cellIs" dxfId="93" priority="22" operator="equal">
      <formula>"sensitivity-in-low-troposphere-PBL High"</formula>
    </cfRule>
  </conditionalFormatting>
  <conditionalFormatting sqref="J1:J8 K1">
    <cfRule type="cellIs" dxfId="92" priority="20" operator="equal">
      <formula>"sensitivity-in-upper-troposphere-and-stratosphere Medium"</formula>
    </cfRule>
    <cfRule type="cellIs" dxfId="91" priority="21" operator="equal">
      <formula>"sensitivity-in-upper-troposphere-and-stratosphere High"</formula>
    </cfRule>
  </conditionalFormatting>
  <conditionalFormatting sqref="C15:C21">
    <cfRule type="cellIs" dxfId="90" priority="12" operator="equal">
      <formula>"Illumination Active"</formula>
    </cfRule>
  </conditionalFormatting>
  <conditionalFormatting sqref="D15:D21">
    <cfRule type="cellIs" dxfId="89" priority="11" operator="equal">
      <formula>"All-weather yes"</formula>
    </cfRule>
  </conditionalFormatting>
  <conditionalFormatting sqref="E15:E21">
    <cfRule type="cellIs" dxfId="88" priority="10" operator="equal">
      <formula>"Day-Night Day-and-night"</formula>
    </cfRule>
  </conditionalFormatting>
  <conditionalFormatting sqref="F15:F21">
    <cfRule type="cellIs" dxfId="87" priority="9" operator="equal">
      <formula>"Penetration High-P-or-L-band"</formula>
    </cfRule>
  </conditionalFormatting>
  <conditionalFormatting sqref="G15:G21">
    <cfRule type="cellIs" dxfId="86" priority="8" operator="equal">
      <formula>"ThreeD Some-3D-multi-angle"</formula>
    </cfRule>
  </conditionalFormatting>
  <conditionalFormatting sqref="G15:G21">
    <cfRule type="cellIs" dxfId="85" priority="7" operator="equal">
      <formula>"ThreeD Full-3D"</formula>
    </cfRule>
  </conditionalFormatting>
  <conditionalFormatting sqref="C14">
    <cfRule type="cellIs" dxfId="84" priority="6" operator="equal">
      <formula>"Illumination Active"</formula>
    </cfRule>
  </conditionalFormatting>
  <conditionalFormatting sqref="D14">
    <cfRule type="cellIs" dxfId="83" priority="5" operator="equal">
      <formula>"All-weather yes"</formula>
    </cfRule>
  </conditionalFormatting>
  <conditionalFormatting sqref="E14">
    <cfRule type="cellIs" dxfId="82" priority="4" operator="equal">
      <formula>"Day-Night Day-and-night"</formula>
    </cfRule>
  </conditionalFormatting>
  <conditionalFormatting sqref="F14">
    <cfRule type="cellIs" dxfId="81" priority="3" operator="equal">
      <formula>"Penetration High-P-or-L-band"</formula>
    </cfRule>
  </conditionalFormatting>
  <conditionalFormatting sqref="G14">
    <cfRule type="cellIs" dxfId="80" priority="2" operator="equal">
      <formula>"ThreeD Some-3D-multi-angle"</formula>
    </cfRule>
  </conditionalFormatting>
  <conditionalFormatting sqref="G14">
    <cfRule type="cellIs" dxfId="79" priority="1" operator="equal">
      <formula>"ThreeD Full-3D"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3"/>
  <sheetViews>
    <sheetView workbookViewId="0">
      <selection sqref="A1:D1"/>
    </sheetView>
  </sheetViews>
  <sheetFormatPr defaultRowHeight="15" x14ac:dyDescent="0.25"/>
  <cols>
    <col min="1" max="1" width="14.85546875" style="29" bestFit="1" customWidth="1"/>
    <col min="2" max="2" width="6.85546875" style="29" bestFit="1" customWidth="1"/>
    <col min="3" max="3" width="20.85546875" style="29" bestFit="1" customWidth="1"/>
    <col min="4" max="4" width="9.85546875" style="29" bestFit="1" customWidth="1"/>
    <col min="5" max="5" width="5" style="29" customWidth="1"/>
    <col min="6" max="6" width="7.85546875" style="29" customWidth="1"/>
    <col min="7" max="7" width="7.28515625" style="29" customWidth="1"/>
    <col min="8" max="8" width="46.5703125" style="29" bestFit="1" customWidth="1"/>
    <col min="9" max="9" width="9.85546875" style="29" bestFit="1" customWidth="1"/>
    <col min="10" max="10" width="4.140625" style="29" customWidth="1"/>
    <col min="11" max="11" width="8.140625" customWidth="1"/>
    <col min="12" max="12" width="7.28515625" customWidth="1"/>
    <col min="13" max="13" width="58.5703125" customWidth="1"/>
    <col min="14" max="14" width="8.7109375" customWidth="1"/>
    <col min="15" max="15" width="3.7109375" customWidth="1"/>
    <col min="16" max="16" width="7.85546875" customWidth="1"/>
    <col min="17" max="17" width="7.140625" customWidth="1"/>
    <col min="18" max="18" width="46.85546875" customWidth="1"/>
    <col min="19" max="19" width="9.140625" customWidth="1"/>
    <col min="20" max="20" width="5" customWidth="1"/>
    <col min="21" max="21" width="12.5703125" customWidth="1"/>
    <col min="22" max="22" width="8.28515625" bestFit="1" customWidth="1"/>
    <col min="23" max="23" width="52.5703125" customWidth="1"/>
    <col min="24" max="24" width="12" bestFit="1" customWidth="1"/>
    <col min="26" max="26" width="8.7109375" customWidth="1"/>
    <col min="27" max="27" width="9.28515625" bestFit="1" customWidth="1"/>
    <col min="28" max="28" width="54.7109375" customWidth="1"/>
    <col min="29" max="29" width="12" bestFit="1" customWidth="1"/>
    <col min="31" max="31" width="13" customWidth="1"/>
    <col min="32" max="32" width="8.28515625" bestFit="1" customWidth="1"/>
    <col min="33" max="33" width="58.5703125" bestFit="1" customWidth="1"/>
    <col min="34" max="34" width="12" bestFit="1" customWidth="1"/>
    <col min="36" max="36" width="18.7109375" bestFit="1" customWidth="1"/>
    <col min="37" max="37" width="8.5703125" bestFit="1" customWidth="1"/>
    <col min="38" max="38" width="45.42578125" customWidth="1"/>
    <col min="39" max="39" width="12" bestFit="1" customWidth="1"/>
  </cols>
  <sheetData>
    <row r="1" spans="1:39" s="26" customFormat="1" ht="18.75" x14ac:dyDescent="0.25">
      <c r="A1" s="59" t="s">
        <v>380</v>
      </c>
      <c r="B1" s="60"/>
      <c r="C1" s="60"/>
      <c r="D1" s="61"/>
      <c r="E1" s="28"/>
      <c r="F1" s="59" t="s">
        <v>381</v>
      </c>
      <c r="G1" s="60"/>
      <c r="H1" s="60"/>
      <c r="I1" s="61"/>
      <c r="J1" s="31"/>
      <c r="K1" s="62" t="s">
        <v>382</v>
      </c>
      <c r="L1" s="62"/>
      <c r="M1" s="62"/>
      <c r="N1" s="62"/>
    </row>
    <row r="2" spans="1:39" x14ac:dyDescent="0.25">
      <c r="A2" s="32" t="s">
        <v>245</v>
      </c>
      <c r="B2" s="33" t="s">
        <v>235</v>
      </c>
      <c r="C2" s="34" t="s">
        <v>236</v>
      </c>
      <c r="D2" s="35" t="s">
        <v>237</v>
      </c>
      <c r="F2" s="63" t="str">
        <f>CONCATENATE($A$3," panel")</f>
        <v>Weather panel</v>
      </c>
      <c r="G2" s="64"/>
      <c r="H2" s="64"/>
      <c r="I2" s="65"/>
      <c r="J2" s="30"/>
      <c r="K2" s="66" t="str">
        <f>F2</f>
        <v>Weather panel</v>
      </c>
      <c r="L2" s="66"/>
      <c r="M2" s="66"/>
      <c r="N2" s="66"/>
      <c r="P2" s="66" t="str">
        <f>F13</f>
        <v>Climate panel</v>
      </c>
      <c r="Q2" s="66"/>
      <c r="R2" s="66"/>
      <c r="S2" s="66"/>
      <c r="U2" s="66" t="str">
        <f>F22</f>
        <v>Land panel</v>
      </c>
      <c r="V2" s="66"/>
      <c r="W2" s="66"/>
      <c r="X2" s="66"/>
      <c r="Z2" s="66" t="str">
        <f>F31</f>
        <v>Water panel</v>
      </c>
      <c r="AA2" s="66"/>
      <c r="AB2" s="66"/>
      <c r="AC2" s="66"/>
      <c r="AE2" s="66" t="str">
        <f>F42</f>
        <v>Health panel</v>
      </c>
      <c r="AF2" s="66"/>
      <c r="AG2" s="66"/>
      <c r="AH2" s="66"/>
      <c r="AJ2" s="66" t="str">
        <f>F52</f>
        <v>Solid Earth panel</v>
      </c>
      <c r="AK2" s="66"/>
      <c r="AL2" s="66"/>
      <c r="AM2" s="66"/>
    </row>
    <row r="3" spans="1:39" x14ac:dyDescent="0.25">
      <c r="A3" s="32" t="s">
        <v>246</v>
      </c>
      <c r="B3" s="33" t="s">
        <v>549</v>
      </c>
      <c r="C3" s="36" t="s">
        <v>246</v>
      </c>
      <c r="D3" s="35">
        <v>0.214</v>
      </c>
      <c r="F3" s="32" t="s">
        <v>0</v>
      </c>
      <c r="G3" s="33" t="s">
        <v>235</v>
      </c>
      <c r="H3" s="34" t="s">
        <v>236</v>
      </c>
      <c r="I3" s="35" t="s">
        <v>237</v>
      </c>
      <c r="J3" s="30"/>
      <c r="K3" s="24" t="s">
        <v>238</v>
      </c>
      <c r="L3" s="24" t="str">
        <f>G4</f>
        <v>WEA1</v>
      </c>
      <c r="M3" s="24" t="str">
        <f>H4</f>
        <v>Atmospheric winds</v>
      </c>
      <c r="N3" s="24"/>
      <c r="P3" s="24" t="s">
        <v>238</v>
      </c>
      <c r="Q3" s="24" t="str">
        <f>G15</f>
        <v>CLI1</v>
      </c>
      <c r="R3" s="24" t="str">
        <f>H15</f>
        <v>Aerosol-Cloud Forcing</v>
      </c>
      <c r="S3" s="24"/>
      <c r="U3" s="24" t="s">
        <v>238</v>
      </c>
      <c r="V3" s="24" t="str">
        <f>G24</f>
        <v>ECO1</v>
      </c>
      <c r="W3" s="24" t="str">
        <f>H24</f>
        <v>Ecosystem Function</v>
      </c>
      <c r="X3" s="24"/>
      <c r="Z3" s="24" t="s">
        <v>238</v>
      </c>
      <c r="AA3" s="24" t="str">
        <f>G33</f>
        <v>WAT1</v>
      </c>
      <c r="AB3" s="24" t="str">
        <f>H33</f>
        <v>Soil moisture and freeze-thaw state</v>
      </c>
      <c r="AC3" s="24"/>
      <c r="AE3" s="24" t="s">
        <v>238</v>
      </c>
      <c r="AF3" s="24" t="str">
        <f>G44</f>
        <v>HEA1</v>
      </c>
      <c r="AG3" s="24" t="str">
        <f>H44</f>
        <v>Ozone Processes: Ultraviolet Radiation and Cancer</v>
      </c>
      <c r="AH3" s="24"/>
      <c r="AJ3" s="24" t="s">
        <v>238</v>
      </c>
      <c r="AK3" s="24" t="str">
        <f>G54</f>
        <v>SOL1</v>
      </c>
      <c r="AL3" s="24" t="str">
        <f>H54</f>
        <v>Surface deformation</v>
      </c>
      <c r="AM3" s="24"/>
    </row>
    <row r="4" spans="1:39" x14ac:dyDescent="0.25">
      <c r="A4" s="32" t="s">
        <v>247</v>
      </c>
      <c r="B4" s="33" t="s">
        <v>550</v>
      </c>
      <c r="C4" s="34" t="s">
        <v>247</v>
      </c>
      <c r="D4" s="35">
        <v>0.20599999999999999</v>
      </c>
      <c r="F4" s="32">
        <v>1</v>
      </c>
      <c r="G4" s="33" t="str">
        <f>CONCATENATE($B$3,Table112[[#This Row],[Objective]])</f>
        <v>WEA1</v>
      </c>
      <c r="H4" s="36" t="s">
        <v>43</v>
      </c>
      <c r="I4" s="35">
        <v>0.19239999999999999</v>
      </c>
      <c r="J4" s="30"/>
      <c r="K4" t="s">
        <v>1</v>
      </c>
      <c r="L4" t="s">
        <v>235</v>
      </c>
      <c r="M4" t="s">
        <v>236</v>
      </c>
      <c r="N4" t="s">
        <v>237</v>
      </c>
      <c r="P4" t="s">
        <v>1</v>
      </c>
      <c r="Q4" t="s">
        <v>235</v>
      </c>
      <c r="R4" t="s">
        <v>236</v>
      </c>
      <c r="S4" t="s">
        <v>237</v>
      </c>
      <c r="U4" t="s">
        <v>1</v>
      </c>
      <c r="V4" t="s">
        <v>235</v>
      </c>
      <c r="W4" t="s">
        <v>236</v>
      </c>
      <c r="X4" t="s">
        <v>237</v>
      </c>
      <c r="Z4" t="s">
        <v>1</v>
      </c>
      <c r="AA4" t="s">
        <v>235</v>
      </c>
      <c r="AB4" t="s">
        <v>236</v>
      </c>
      <c r="AC4" t="s">
        <v>237</v>
      </c>
      <c r="AE4" t="s">
        <v>1</v>
      </c>
      <c r="AF4" t="s">
        <v>235</v>
      </c>
      <c r="AG4" t="s">
        <v>236</v>
      </c>
      <c r="AH4" t="s">
        <v>237</v>
      </c>
      <c r="AJ4" t="s">
        <v>1</v>
      </c>
      <c r="AK4" t="s">
        <v>235</v>
      </c>
      <c r="AL4" t="s">
        <v>236</v>
      </c>
      <c r="AM4" t="s">
        <v>237</v>
      </c>
    </row>
    <row r="5" spans="1:39" x14ac:dyDescent="0.25">
      <c r="A5" s="32" t="s">
        <v>248</v>
      </c>
      <c r="B5" s="33" t="s">
        <v>253</v>
      </c>
      <c r="C5" s="34" t="s">
        <v>255</v>
      </c>
      <c r="D5" s="35">
        <v>0.20599999999999999</v>
      </c>
      <c r="F5" s="32">
        <v>2</v>
      </c>
      <c r="G5" s="33" t="str">
        <f>CONCATENATE($B$3,Table112[[#This Row],[Objective]])</f>
        <v>WEA2</v>
      </c>
      <c r="H5" s="34" t="s">
        <v>50</v>
      </c>
      <c r="I5" s="35">
        <v>0.15379999999999999</v>
      </c>
      <c r="J5" s="30"/>
      <c r="K5">
        <v>1</v>
      </c>
      <c r="L5" t="str">
        <f>CONCATENATE($L$3,"-",Table215[[#This Row],[Subobjective]])</f>
        <v>WEA1-1</v>
      </c>
      <c r="M5" t="s">
        <v>44</v>
      </c>
      <c r="N5" s="9">
        <v>0.2</v>
      </c>
      <c r="P5">
        <v>1</v>
      </c>
      <c r="Q5" t="str">
        <f>CONCATENATE($Q$3,"-",Table22056[[#This Row],[Subobjective]])</f>
        <v>CLI1-1</v>
      </c>
      <c r="R5" t="s">
        <v>68</v>
      </c>
      <c r="S5" s="9">
        <f>1/12</f>
        <v>8.3333333333333329E-2</v>
      </c>
      <c r="U5">
        <v>1</v>
      </c>
      <c r="V5" t="str">
        <f>CONCATENATE($V$3,"-",Table2202561[[#This Row],[Subobjective]])</f>
        <v>ECO1-1</v>
      </c>
      <c r="W5" t="s">
        <v>118</v>
      </c>
      <c r="X5" s="9">
        <f>1/4</f>
        <v>0.25</v>
      </c>
      <c r="Z5">
        <v>1</v>
      </c>
      <c r="AA5" t="str">
        <f>CONCATENATE($AA$3,"-",Table23470[[#This Row],[Subobjective]])</f>
        <v>WAT1-1</v>
      </c>
      <c r="AB5" t="s">
        <v>87</v>
      </c>
      <c r="AC5" s="9">
        <f>0.5</f>
        <v>0.5</v>
      </c>
      <c r="AE5">
        <v>1</v>
      </c>
      <c r="AF5" t="str">
        <f>CONCATENATE($AF$3,"-",Table2344177[[#This Row],[Subobjective]])</f>
        <v>HEA1-1</v>
      </c>
      <c r="AG5" t="s">
        <v>150</v>
      </c>
      <c r="AH5" s="9">
        <f>1/4</f>
        <v>0.25</v>
      </c>
      <c r="AJ5">
        <v>1</v>
      </c>
      <c r="AK5" t="str">
        <f>CONCATENATE($AK$3,"-",Table2204783[[#This Row],[Subobjective]])</f>
        <v>SOL1-1</v>
      </c>
      <c r="AL5" t="s">
        <v>139</v>
      </c>
      <c r="AM5" s="9">
        <f>0.6</f>
        <v>0.6</v>
      </c>
    </row>
    <row r="6" spans="1:39" x14ac:dyDescent="0.25">
      <c r="A6" s="32" t="s">
        <v>249</v>
      </c>
      <c r="B6" s="33" t="s">
        <v>551</v>
      </c>
      <c r="C6" s="34" t="s">
        <v>249</v>
      </c>
      <c r="D6" s="35">
        <v>0.156</v>
      </c>
      <c r="F6" s="32">
        <v>3</v>
      </c>
      <c r="G6" s="33" t="str">
        <f>CONCATENATE($B$3,Table112[[#This Row],[Objective]])</f>
        <v>WEA3</v>
      </c>
      <c r="H6" s="34" t="s">
        <v>53</v>
      </c>
      <c r="I6" s="35">
        <v>0.1154</v>
      </c>
      <c r="J6" s="30"/>
      <c r="K6">
        <v>2</v>
      </c>
      <c r="L6" t="str">
        <f>CONCATENATE($L$3,"-",Table215[[#This Row],[Subobjective]])</f>
        <v>WEA1-2</v>
      </c>
      <c r="M6" t="s">
        <v>45</v>
      </c>
      <c r="N6" s="9">
        <v>0.2</v>
      </c>
      <c r="P6">
        <v>2</v>
      </c>
      <c r="Q6" t="str">
        <f>CONCATENATE($Q$3,"-",Table22056[[#This Row],[Subobjective]])</f>
        <v>CLI1-2</v>
      </c>
      <c r="R6" t="s">
        <v>69</v>
      </c>
      <c r="S6" s="9">
        <f t="shared" ref="S6:S16" si="0">1/12</f>
        <v>8.3333333333333329E-2</v>
      </c>
      <c r="U6">
        <v>2</v>
      </c>
      <c r="V6" t="str">
        <f>CONCATENATE($V$3,"-",Table2202561[[#This Row],[Subobjective]])</f>
        <v>ECO1-2</v>
      </c>
      <c r="W6" t="s">
        <v>119</v>
      </c>
      <c r="X6" s="9">
        <v>0.125</v>
      </c>
      <c r="Z6">
        <v>2</v>
      </c>
      <c r="AA6" t="str">
        <f>CONCATENATE($AA$3,"-",Table23470[[#This Row],[Subobjective]])</f>
        <v>WAT1-2</v>
      </c>
      <c r="AB6" t="s">
        <v>91</v>
      </c>
      <c r="AC6" s="9">
        <f>0.5</f>
        <v>0.5</v>
      </c>
      <c r="AE6">
        <v>2</v>
      </c>
      <c r="AF6" t="str">
        <f>CONCATENATE($AF$3,"-",Table2344177[[#This Row],[Subobjective]])</f>
        <v>HEA1-2</v>
      </c>
      <c r="AG6" t="s">
        <v>149</v>
      </c>
      <c r="AH6" s="9">
        <f>1/4*1/8</f>
        <v>3.125E-2</v>
      </c>
      <c r="AJ6">
        <v>2</v>
      </c>
      <c r="AK6" t="str">
        <f>CONCATENATE($AK$3,"-",Table2204783[[#This Row],[Subobjective]])</f>
        <v>SOL1-2</v>
      </c>
      <c r="AL6" t="s">
        <v>611</v>
      </c>
      <c r="AM6" s="9">
        <f>0.2</f>
        <v>0.2</v>
      </c>
    </row>
    <row r="7" spans="1:39" x14ac:dyDescent="0.25">
      <c r="A7" s="32" t="s">
        <v>251</v>
      </c>
      <c r="B7" s="33" t="s">
        <v>552</v>
      </c>
      <c r="C7" s="34" t="s">
        <v>250</v>
      </c>
      <c r="D7" s="35">
        <v>0.111</v>
      </c>
      <c r="F7" s="32">
        <v>4</v>
      </c>
      <c r="G7" s="33" t="str">
        <f>CONCATENATE($B$3,Table112[[#This Row],[Objective]])</f>
        <v>WEA4</v>
      </c>
      <c r="H7" s="34" t="s">
        <v>269</v>
      </c>
      <c r="I7" s="35">
        <v>7.6899999999999996E-2</v>
      </c>
      <c r="J7" s="30"/>
      <c r="K7">
        <v>3</v>
      </c>
      <c r="L7" t="str">
        <f>CONCATENATE($L$3,"-",Table215[[#This Row],[Subobjective]])</f>
        <v>WEA1-3</v>
      </c>
      <c r="M7" t="s">
        <v>46</v>
      </c>
      <c r="N7" s="9">
        <v>0.3</v>
      </c>
      <c r="P7">
        <v>3</v>
      </c>
      <c r="Q7" t="str">
        <f>CONCATENATE($Q$3,"-",Table22056[[#This Row],[Subobjective]])</f>
        <v>CLI1-3</v>
      </c>
      <c r="R7" t="s">
        <v>70</v>
      </c>
      <c r="S7" s="9">
        <f t="shared" si="0"/>
        <v>8.3333333333333329E-2</v>
      </c>
      <c r="U7">
        <v>3</v>
      </c>
      <c r="V7" t="str">
        <f>CONCATENATE($V$3,"-",Table2202561[[#This Row],[Subobjective]])</f>
        <v>ECO1-3</v>
      </c>
      <c r="W7" t="s">
        <v>120</v>
      </c>
      <c r="X7" s="9">
        <f>1/4</f>
        <v>0.25</v>
      </c>
      <c r="AC7" s="25">
        <f>SUM(AC5:AC6)</f>
        <v>1</v>
      </c>
      <c r="AE7">
        <v>3</v>
      </c>
      <c r="AF7" t="str">
        <f>CONCATENATE($AF$3,"-",Table2344177[[#This Row],[Subobjective]])</f>
        <v>HEA1-3</v>
      </c>
      <c r="AG7" t="s">
        <v>152</v>
      </c>
      <c r="AH7" s="9">
        <f t="shared" ref="AH7:AH13" si="1">1/4*1/8</f>
        <v>3.125E-2</v>
      </c>
      <c r="AJ7">
        <v>3</v>
      </c>
      <c r="AK7" t="str">
        <f>CONCATENATE($AK$3,"-",Table2204783[[#This Row],[Subobjective]])</f>
        <v>SOL1-3</v>
      </c>
      <c r="AL7" t="s">
        <v>140</v>
      </c>
      <c r="AM7" s="9">
        <f>0.2</f>
        <v>0.2</v>
      </c>
    </row>
    <row r="8" spans="1:39" x14ac:dyDescent="0.25">
      <c r="A8" s="32" t="s">
        <v>252</v>
      </c>
      <c r="B8" s="33" t="s">
        <v>553</v>
      </c>
      <c r="C8" s="34" t="s">
        <v>252</v>
      </c>
      <c r="D8" s="35">
        <v>0.107</v>
      </c>
      <c r="F8" s="32">
        <v>5</v>
      </c>
      <c r="G8" s="33" t="str">
        <f>CONCATENATE($B$3,Table112[[#This Row],[Objective]])</f>
        <v>WEA5</v>
      </c>
      <c r="H8" s="34" t="s">
        <v>65</v>
      </c>
      <c r="I8" s="35">
        <v>0.1923</v>
      </c>
      <c r="J8" s="30"/>
      <c r="K8">
        <v>4</v>
      </c>
      <c r="L8" t="str">
        <f>CONCATENATE($L$3,"-",Table215[[#This Row],[Subobjective]])</f>
        <v>WEA1-4</v>
      </c>
      <c r="M8" t="s">
        <v>47</v>
      </c>
      <c r="N8" s="9">
        <v>0.2</v>
      </c>
      <c r="P8">
        <v>4</v>
      </c>
      <c r="Q8" t="str">
        <f>CONCATENATE($Q$3,"-",Table22056[[#This Row],[Subobjective]])</f>
        <v>CLI1-4</v>
      </c>
      <c r="R8" t="s">
        <v>71</v>
      </c>
      <c r="S8" s="9">
        <f t="shared" si="0"/>
        <v>8.3333333333333329E-2</v>
      </c>
      <c r="U8">
        <v>4</v>
      </c>
      <c r="V8" t="str">
        <f>CONCATENATE($V$3,"-",Table2202561[[#This Row],[Subobjective]])</f>
        <v>ECO1-4</v>
      </c>
      <c r="W8" t="s">
        <v>121</v>
      </c>
      <c r="X8" s="9">
        <f>1/4</f>
        <v>0.25</v>
      </c>
      <c r="AC8" s="25"/>
      <c r="AE8">
        <v>4</v>
      </c>
      <c r="AF8" t="str">
        <f>CONCATENATE($AF$3,"-",Table2344177[[#This Row],[Subobjective]])</f>
        <v>HEA1-4</v>
      </c>
      <c r="AG8" t="s">
        <v>153</v>
      </c>
      <c r="AH8" s="9">
        <f t="shared" si="1"/>
        <v>3.125E-2</v>
      </c>
      <c r="AM8" s="25">
        <f>SUM(AM5:AM7)</f>
        <v>1</v>
      </c>
    </row>
    <row r="9" spans="1:39" ht="15.75" thickBot="1" x14ac:dyDescent="0.3">
      <c r="A9" s="37"/>
      <c r="B9" s="38"/>
      <c r="C9" s="39"/>
      <c r="D9" s="40">
        <f>SUM(D3:D8)</f>
        <v>1</v>
      </c>
      <c r="F9" s="32">
        <v>6</v>
      </c>
      <c r="G9" s="33" t="str">
        <f>CONCATENATE($B$3,Table112[[#This Row],[Objective]])</f>
        <v>WEA6</v>
      </c>
      <c r="H9" s="34" t="s">
        <v>268</v>
      </c>
      <c r="I9" s="35">
        <v>0.15379999999999999</v>
      </c>
      <c r="J9" s="30"/>
      <c r="K9">
        <v>5</v>
      </c>
      <c r="L9" t="str">
        <f>CONCATENATE($L$3,"-",Table215[[#This Row],[Subobjective]])</f>
        <v>WEA1-5</v>
      </c>
      <c r="M9" t="s">
        <v>48</v>
      </c>
      <c r="N9" s="9">
        <v>0.1</v>
      </c>
      <c r="P9">
        <v>5</v>
      </c>
      <c r="Q9" t="str">
        <f>CONCATENATE($Q$3,"-",Table22056[[#This Row],[Subobjective]])</f>
        <v>CLI1-5</v>
      </c>
      <c r="R9" t="s">
        <v>72</v>
      </c>
      <c r="S9" s="9">
        <f t="shared" si="0"/>
        <v>8.3333333333333329E-2</v>
      </c>
      <c r="U9">
        <v>5</v>
      </c>
      <c r="V9" t="str">
        <f>CONCATENATE($V$3,"-",Table2202561[[#This Row],[Subobjective]])</f>
        <v>ECO1-5</v>
      </c>
      <c r="W9" t="s">
        <v>558</v>
      </c>
      <c r="X9" s="43">
        <v>0.125</v>
      </c>
      <c r="Z9" s="24" t="s">
        <v>239</v>
      </c>
      <c r="AA9" s="24" t="str">
        <f>G34</f>
        <v>WAT2</v>
      </c>
      <c r="AB9" s="24" t="str">
        <f>H34</f>
        <v>Surface water and ocean topography</v>
      </c>
      <c r="AC9" s="24"/>
      <c r="AE9">
        <v>5</v>
      </c>
      <c r="AF9" t="str">
        <f>CONCATENATE($AF$3,"-",Table2344177[[#This Row],[Subobjective]])</f>
        <v>HEA1-5</v>
      </c>
      <c r="AG9" t="s">
        <v>154</v>
      </c>
      <c r="AH9" s="9">
        <f t="shared" si="1"/>
        <v>3.125E-2</v>
      </c>
      <c r="AM9" s="25"/>
    </row>
    <row r="10" spans="1:39" x14ac:dyDescent="0.25">
      <c r="F10" s="32">
        <v>7</v>
      </c>
      <c r="G10" s="33" t="str">
        <f>CONCATENATE($B$3,Table112[[#This Row],[Objective]])</f>
        <v>WEA7</v>
      </c>
      <c r="H10" s="34" t="s">
        <v>67</v>
      </c>
      <c r="I10" s="41">
        <v>0.1154</v>
      </c>
      <c r="J10" s="30"/>
      <c r="N10" s="25">
        <f>SUM(N5:N9)</f>
        <v>0.99999999999999989</v>
      </c>
      <c r="P10">
        <v>6</v>
      </c>
      <c r="Q10" t="str">
        <f>CONCATENATE($Q$3,"-",Table22056[[#This Row],[Subobjective]])</f>
        <v>CLI1-6</v>
      </c>
      <c r="R10" t="s">
        <v>73</v>
      </c>
      <c r="S10" s="9">
        <f t="shared" si="0"/>
        <v>8.3333333333333329E-2</v>
      </c>
      <c r="X10" s="25">
        <f>SUM(X5:X9)</f>
        <v>1</v>
      </c>
      <c r="Z10" t="s">
        <v>1</v>
      </c>
      <c r="AA10" t="s">
        <v>235</v>
      </c>
      <c r="AB10" t="s">
        <v>236</v>
      </c>
      <c r="AC10" t="s">
        <v>237</v>
      </c>
      <c r="AE10">
        <v>6</v>
      </c>
      <c r="AF10" t="str">
        <f>CONCATENATE($AF$3,"-",Table2344177[[#This Row],[Subobjective]])</f>
        <v>HEA1-6</v>
      </c>
      <c r="AG10" t="s">
        <v>155</v>
      </c>
      <c r="AH10" s="9">
        <f t="shared" si="1"/>
        <v>3.125E-2</v>
      </c>
      <c r="AJ10" s="24" t="s">
        <v>239</v>
      </c>
      <c r="AK10" s="24" t="str">
        <f>G55</f>
        <v>SOL2</v>
      </c>
      <c r="AL10" s="24" t="str">
        <f>H55</f>
        <v>Surface composition</v>
      </c>
      <c r="AM10" s="24"/>
    </row>
    <row r="11" spans="1:39" ht="15.75" thickBot="1" x14ac:dyDescent="0.3">
      <c r="F11" s="37"/>
      <c r="G11" s="38"/>
      <c r="H11" s="39"/>
      <c r="I11" s="40">
        <f>SUM(I4:I10)</f>
        <v>1</v>
      </c>
      <c r="J11" s="30"/>
      <c r="K11" s="29"/>
      <c r="L11" s="29"/>
      <c r="M11" s="29"/>
      <c r="N11" s="46"/>
      <c r="P11">
        <v>7</v>
      </c>
      <c r="Q11" t="str">
        <f>CONCATENATE($Q$3,"-",Table22056[[#This Row],[Subobjective]])</f>
        <v>CLI1-7</v>
      </c>
      <c r="R11" t="s">
        <v>213</v>
      </c>
      <c r="S11" s="9">
        <f t="shared" si="0"/>
        <v>8.3333333333333329E-2</v>
      </c>
      <c r="X11" s="25"/>
      <c r="Z11">
        <v>1</v>
      </c>
      <c r="AA11" s="23" t="str">
        <f>CONCATENATE($AA$9,"-",Table243571[[#This Row],[Subobjective]])</f>
        <v>WAT2-1</v>
      </c>
      <c r="AB11" t="s">
        <v>92</v>
      </c>
      <c r="AC11" s="9">
        <f>1/2</f>
        <v>0.5</v>
      </c>
      <c r="AE11">
        <v>7</v>
      </c>
      <c r="AF11" t="str">
        <f>CONCATENATE($AF$3,"-",Table2344177[[#This Row],[Subobjective]])</f>
        <v>HEA1-7</v>
      </c>
      <c r="AG11" t="s">
        <v>156</v>
      </c>
      <c r="AH11" s="9">
        <f t="shared" si="1"/>
        <v>3.125E-2</v>
      </c>
      <c r="AJ11" t="s">
        <v>1</v>
      </c>
      <c r="AK11" t="s">
        <v>235</v>
      </c>
      <c r="AL11" t="s">
        <v>236</v>
      </c>
      <c r="AM11" t="s">
        <v>237</v>
      </c>
    </row>
    <row r="12" spans="1:39" ht="15.75" thickBot="1" x14ac:dyDescent="0.3">
      <c r="I12" s="30"/>
      <c r="J12" s="30"/>
      <c r="K12" s="24" t="s">
        <v>239</v>
      </c>
      <c r="L12" s="24" t="str">
        <f>G5</f>
        <v>WEA2</v>
      </c>
      <c r="M12" s="24" t="str">
        <f>H5</f>
        <v>High temporal resolution air pollution</v>
      </c>
      <c r="N12" s="24"/>
      <c r="P12">
        <v>8</v>
      </c>
      <c r="Q12" t="str">
        <f>CONCATENATE($Q$3,"-",Table22056[[#This Row],[Subobjective]])</f>
        <v>CLI1-8</v>
      </c>
      <c r="R12" t="s">
        <v>74</v>
      </c>
      <c r="S12" s="9">
        <f t="shared" si="0"/>
        <v>8.3333333333333329E-2</v>
      </c>
      <c r="U12" s="24" t="s">
        <v>239</v>
      </c>
      <c r="V12" s="24" t="str">
        <f>G25</f>
        <v>ECO2</v>
      </c>
      <c r="W12" s="24" t="str">
        <f>H25</f>
        <v>Ecosystem Structure and Biomass</v>
      </c>
      <c r="X12" s="24"/>
      <c r="Z12">
        <v>2</v>
      </c>
      <c r="AA12" s="23" t="str">
        <f>CONCATENATE($AA$9,"-",Table243571[[#This Row],[Subobjective]])</f>
        <v>WAT2-2</v>
      </c>
      <c r="AB12" t="s">
        <v>93</v>
      </c>
      <c r="AC12" s="9">
        <f>1/4</f>
        <v>0.25</v>
      </c>
      <c r="AE12">
        <v>8</v>
      </c>
      <c r="AF12" t="str">
        <f>CONCATENATE($AF$3,"-",Table2344177[[#This Row],[Subobjective]])</f>
        <v>HEA1-8</v>
      </c>
      <c r="AG12" t="s">
        <v>157</v>
      </c>
      <c r="AH12" s="9">
        <f t="shared" si="1"/>
        <v>3.125E-2</v>
      </c>
      <c r="AJ12">
        <v>1</v>
      </c>
      <c r="AK12" t="str">
        <f>CONCATENATE($AK$10,"-",Table24214884[[#This Row],[Subobjective]])</f>
        <v>SOL2-1</v>
      </c>
      <c r="AL12" t="s">
        <v>142</v>
      </c>
      <c r="AM12" s="9">
        <f>0.6</f>
        <v>0.6</v>
      </c>
    </row>
    <row r="13" spans="1:39" x14ac:dyDescent="0.25">
      <c r="F13" s="67" t="str">
        <f>CONCATENATE($A$4," panel")</f>
        <v>Climate panel</v>
      </c>
      <c r="G13" s="68"/>
      <c r="H13" s="68"/>
      <c r="I13" s="69"/>
      <c r="J13" s="30"/>
      <c r="K13" t="s">
        <v>1</v>
      </c>
      <c r="L13" t="s">
        <v>235</v>
      </c>
      <c r="M13" t="s">
        <v>236</v>
      </c>
      <c r="N13" t="s">
        <v>237</v>
      </c>
      <c r="P13">
        <v>9</v>
      </c>
      <c r="Q13" t="str">
        <f>CONCATENATE($Q$3,"-",Table22056[[#This Row],[Subobjective]])</f>
        <v>CLI1-9</v>
      </c>
      <c r="R13" t="s">
        <v>75</v>
      </c>
      <c r="S13" s="9">
        <f t="shared" si="0"/>
        <v>8.3333333333333329E-2</v>
      </c>
      <c r="U13" t="s">
        <v>1</v>
      </c>
      <c r="V13" t="s">
        <v>235</v>
      </c>
      <c r="W13" t="s">
        <v>236</v>
      </c>
      <c r="X13" t="s">
        <v>237</v>
      </c>
      <c r="Z13">
        <v>3</v>
      </c>
      <c r="AA13" s="23" t="str">
        <f>CONCATENATE($AA$9,"-",Table243571[[#This Row],[Subobjective]])</f>
        <v>WAT2-3</v>
      </c>
      <c r="AB13" t="s">
        <v>94</v>
      </c>
      <c r="AC13" s="9">
        <f>1/4</f>
        <v>0.25</v>
      </c>
      <c r="AE13">
        <v>9</v>
      </c>
      <c r="AF13" t="str">
        <f>CONCATENATE($AF$3,"-",Table2344177[[#This Row],[Subobjective]])</f>
        <v>HEA1-9</v>
      </c>
      <c r="AG13" t="s">
        <v>158</v>
      </c>
      <c r="AH13" s="9">
        <f t="shared" si="1"/>
        <v>3.125E-2</v>
      </c>
      <c r="AJ13">
        <v>2</v>
      </c>
      <c r="AK13" t="str">
        <f>CONCATENATE($AK$10,"-",Table24214884[[#This Row],[Subobjective]])</f>
        <v>SOL2-2</v>
      </c>
      <c r="AL13" t="s">
        <v>612</v>
      </c>
      <c r="AM13" s="9">
        <f>0.2</f>
        <v>0.2</v>
      </c>
    </row>
    <row r="14" spans="1:39" x14ac:dyDescent="0.25">
      <c r="F14" s="32" t="s">
        <v>0</v>
      </c>
      <c r="G14" s="33" t="s">
        <v>235</v>
      </c>
      <c r="H14" s="34" t="s">
        <v>236</v>
      </c>
      <c r="I14" s="35" t="s">
        <v>237</v>
      </c>
      <c r="J14" s="30"/>
      <c r="K14">
        <v>1</v>
      </c>
      <c r="L14" s="23" t="str">
        <f>CONCATENATE($L$12,"-",Table2416[[#This Row],[Subobjective]])</f>
        <v>WEA2-1</v>
      </c>
      <c r="M14" t="s">
        <v>52</v>
      </c>
      <c r="N14" s="9">
        <f>1/3</f>
        <v>0.33333333333333331</v>
      </c>
      <c r="P14">
        <v>10</v>
      </c>
      <c r="Q14" t="str">
        <f>CONCATENATE($Q$3,"-",Table22056[[#This Row],[Subobjective]])</f>
        <v>CLI1-10</v>
      </c>
      <c r="R14" t="s">
        <v>76</v>
      </c>
      <c r="S14" s="9">
        <f t="shared" si="0"/>
        <v>8.3333333333333329E-2</v>
      </c>
      <c r="U14">
        <v>1</v>
      </c>
      <c r="V14" s="23" t="str">
        <f>CONCATENATE($V$12,"-",Table24212662[[#This Row],[Subobjective]])</f>
        <v>ECO2-1</v>
      </c>
      <c r="W14" t="s">
        <v>122</v>
      </c>
      <c r="X14" s="9">
        <f>0.4</f>
        <v>0.4</v>
      </c>
      <c r="AA14" s="23"/>
      <c r="AC14" s="25">
        <f>SUM(AC11:AC13)</f>
        <v>1</v>
      </c>
      <c r="AE14">
        <v>10</v>
      </c>
      <c r="AF14" t="str">
        <f>CONCATENATE($AF$3,"-",Table2344177[[#This Row],[Subobjective]])</f>
        <v>HEA1-10</v>
      </c>
      <c r="AG14" t="s">
        <v>159</v>
      </c>
      <c r="AH14" s="27">
        <f>1/4</f>
        <v>0.25</v>
      </c>
      <c r="AJ14">
        <v>3</v>
      </c>
      <c r="AK14" t="str">
        <f>CONCATENATE($AK$10,"-",Table24214884[[#This Row],[Subobjective]])</f>
        <v>SOL2-3</v>
      </c>
      <c r="AL14" t="s">
        <v>140</v>
      </c>
      <c r="AM14" s="9">
        <f>0.2</f>
        <v>0.2</v>
      </c>
    </row>
    <row r="15" spans="1:39" x14ac:dyDescent="0.25">
      <c r="F15" s="32">
        <v>1</v>
      </c>
      <c r="G15" s="33" t="str">
        <f>CONCATENATE($B$4,Table11455[[#This Row],[Objective]])</f>
        <v>CLI1</v>
      </c>
      <c r="H15" s="36" t="s">
        <v>212</v>
      </c>
      <c r="I15" s="35">
        <v>0.23530000000000001</v>
      </c>
      <c r="J15" s="30"/>
      <c r="K15">
        <v>2</v>
      </c>
      <c r="L15" s="23" t="str">
        <f>CONCATENATE($L$12,"-",Table2416[[#This Row],[Subobjective]])</f>
        <v>WEA2-2</v>
      </c>
      <c r="M15" t="s">
        <v>193</v>
      </c>
      <c r="N15" s="9">
        <f>1/9</f>
        <v>0.1111111111111111</v>
      </c>
      <c r="P15">
        <v>11</v>
      </c>
      <c r="Q15" t="str">
        <f>CONCATENATE($Q$3,"-",Table22056[[#This Row],[Subobjective]])</f>
        <v>CLI1-11</v>
      </c>
      <c r="R15" t="s">
        <v>77</v>
      </c>
      <c r="S15" s="9">
        <f t="shared" si="0"/>
        <v>8.3333333333333329E-2</v>
      </c>
      <c r="U15">
        <v>2</v>
      </c>
      <c r="V15" s="23" t="str">
        <f>CONCATENATE($V$12,"-",Table24212662[[#This Row],[Subobjective]])</f>
        <v>ECO2-2</v>
      </c>
      <c r="W15" t="s">
        <v>125</v>
      </c>
      <c r="X15" s="9">
        <v>0.3</v>
      </c>
      <c r="AE15">
        <v>11</v>
      </c>
      <c r="AF15" t="str">
        <f>CONCATENATE($AF$3,"-",Table2344177[[#This Row],[Subobjective]])</f>
        <v>HEA1-11</v>
      </c>
      <c r="AG15" t="s">
        <v>162</v>
      </c>
      <c r="AH15" s="27">
        <f>1/5*1/8</f>
        <v>2.5000000000000001E-2</v>
      </c>
      <c r="AK15" s="23"/>
      <c r="AM15" s="25">
        <f>SUM(AM12:AM14)</f>
        <v>1</v>
      </c>
    </row>
    <row r="16" spans="1:39" x14ac:dyDescent="0.25">
      <c r="F16" s="32">
        <v>2</v>
      </c>
      <c r="G16" s="33" t="str">
        <f>CONCATENATE($B$4,Table11455[[#This Row],[Objective]])</f>
        <v>CLI2</v>
      </c>
      <c r="H16" s="34" t="s">
        <v>214</v>
      </c>
      <c r="I16" s="35">
        <v>0.23530000000000001</v>
      </c>
      <c r="J16" s="30"/>
      <c r="K16">
        <v>3</v>
      </c>
      <c r="L16" s="23" t="str">
        <f>CONCATENATE($L$12,"-",Table2416[[#This Row],[Subobjective]])</f>
        <v>WEA2-3</v>
      </c>
      <c r="M16" t="s">
        <v>256</v>
      </c>
      <c r="N16" s="9">
        <f>1/9</f>
        <v>0.1111111111111111</v>
      </c>
      <c r="P16">
        <v>12</v>
      </c>
      <c r="Q16" t="str">
        <f>CONCATENATE($Q$3,"-",Table22056[[#This Row],[Subobjective]])</f>
        <v>CLI1-12</v>
      </c>
      <c r="R16" t="s">
        <v>78</v>
      </c>
      <c r="S16" s="9">
        <f t="shared" si="0"/>
        <v>8.3333333333333329E-2</v>
      </c>
      <c r="U16">
        <v>3</v>
      </c>
      <c r="V16" s="23" t="str">
        <f>CONCATENATE($V$12,"-",Table24212662[[#This Row],[Subobjective]])</f>
        <v>ECO2-3</v>
      </c>
      <c r="W16" t="s">
        <v>126</v>
      </c>
      <c r="X16" s="9">
        <f>0.2</f>
        <v>0.2</v>
      </c>
      <c r="Z16" s="24" t="s">
        <v>240</v>
      </c>
      <c r="AA16" s="24" t="str">
        <f>G35</f>
        <v>WAT3</v>
      </c>
      <c r="AB16" s="24" t="str">
        <f>H35</f>
        <v>Snow and cold land processes</v>
      </c>
      <c r="AC16" s="24"/>
      <c r="AE16">
        <v>12</v>
      </c>
      <c r="AF16" t="str">
        <f>CONCATENATE($AF$3,"-",Table2344177[[#This Row],[Subobjective]])</f>
        <v>HEA1-12</v>
      </c>
      <c r="AG16" t="s">
        <v>163</v>
      </c>
      <c r="AH16" s="27">
        <f>1/5*1/8</f>
        <v>2.5000000000000001E-2</v>
      </c>
    </row>
    <row r="17" spans="6:39" customFormat="1" x14ac:dyDescent="0.25">
      <c r="F17" s="32">
        <v>3</v>
      </c>
      <c r="G17" s="33" t="str">
        <f>CONCATENATE($B$4,Table11455[[#This Row],[Objective]])</f>
        <v>CLI3</v>
      </c>
      <c r="H17" s="34" t="s">
        <v>217</v>
      </c>
      <c r="I17" s="35">
        <v>0.23530000000000001</v>
      </c>
      <c r="J17" s="30"/>
      <c r="K17">
        <v>4</v>
      </c>
      <c r="L17" s="23" t="str">
        <f>CONCATENATE($L$12,"-",Table2416[[#This Row],[Subobjective]])</f>
        <v>WEA2-4</v>
      </c>
      <c r="M17" t="s">
        <v>257</v>
      </c>
      <c r="N17" s="9">
        <f>1/9</f>
        <v>0.1111111111111111</v>
      </c>
      <c r="S17" s="25">
        <f>SUM(S5:S16)</f>
        <v>1</v>
      </c>
      <c r="U17">
        <v>4</v>
      </c>
      <c r="V17" s="23" t="str">
        <f>CONCATENATE($V$12,"-",Table24212662[[#This Row],[Subobjective]])</f>
        <v>ECO2-4</v>
      </c>
      <c r="W17" t="s">
        <v>558</v>
      </c>
      <c r="X17" s="43">
        <v>0.1</v>
      </c>
      <c r="Z17" t="s">
        <v>1</v>
      </c>
      <c r="AA17" t="s">
        <v>235</v>
      </c>
      <c r="AB17" t="s">
        <v>236</v>
      </c>
      <c r="AC17" t="s">
        <v>237</v>
      </c>
      <c r="AE17">
        <v>13</v>
      </c>
      <c r="AF17" t="str">
        <f>CONCATENATE($AF$3,"-",Table2344177[[#This Row],[Subobjective]])</f>
        <v>HEA1-13</v>
      </c>
      <c r="AG17" t="s">
        <v>164</v>
      </c>
      <c r="AH17" s="27">
        <f>1/5*1/8</f>
        <v>2.5000000000000001E-2</v>
      </c>
      <c r="AJ17" s="24" t="s">
        <v>240</v>
      </c>
      <c r="AK17" s="24" t="str">
        <f>G56</f>
        <v>SOL3</v>
      </c>
      <c r="AL17" s="24" t="str">
        <f>H56</f>
        <v>High resolution topography</v>
      </c>
      <c r="AM17" s="24"/>
    </row>
    <row r="18" spans="6:39" customFormat="1" x14ac:dyDescent="0.25">
      <c r="F18" s="32">
        <v>4</v>
      </c>
      <c r="G18" s="33" t="str">
        <f>CONCATENATE($B$4,Table11455[[#This Row],[Objective]])</f>
        <v>CLI4</v>
      </c>
      <c r="H18" s="34" t="s">
        <v>224</v>
      </c>
      <c r="I18" s="35">
        <v>0.17649999999999999</v>
      </c>
      <c r="J18" s="30"/>
      <c r="K18">
        <v>5</v>
      </c>
      <c r="L18" s="23" t="str">
        <f>CONCATENATE($L$12,"-",Table2416[[#This Row],[Subobjective]])</f>
        <v>WEA2-5</v>
      </c>
      <c r="M18" t="s">
        <v>258</v>
      </c>
      <c r="N18" s="9">
        <f>1/6</f>
        <v>0.16666666666666666</v>
      </c>
      <c r="S18" s="25"/>
      <c r="V18" s="23"/>
      <c r="X18" s="25">
        <f>SUM(X14:X17)</f>
        <v>0.99999999999999989</v>
      </c>
      <c r="Z18">
        <v>1</v>
      </c>
      <c r="AA18" s="23" t="str">
        <f>CONCATENATE($AA$16,"-",Table2453672[[#This Row],[Subobjective]])</f>
        <v>WAT3-1</v>
      </c>
      <c r="AB18" t="s">
        <v>95</v>
      </c>
      <c r="AC18" s="9">
        <f>1/4</f>
        <v>0.25</v>
      </c>
      <c r="AE18">
        <v>14</v>
      </c>
      <c r="AF18" t="str">
        <f>CONCATENATE($AF$3,"-",Table2344177[[#This Row],[Subobjective]])</f>
        <v>HEA1-14</v>
      </c>
      <c r="AG18" t="s">
        <v>165</v>
      </c>
      <c r="AH18" s="27">
        <f>1/5*1/8</f>
        <v>2.5000000000000001E-2</v>
      </c>
      <c r="AJ18" t="s">
        <v>1</v>
      </c>
      <c r="AK18" t="s">
        <v>235</v>
      </c>
      <c r="AL18" t="s">
        <v>236</v>
      </c>
      <c r="AM18" t="s">
        <v>237</v>
      </c>
    </row>
    <row r="19" spans="6:39" customFormat="1" x14ac:dyDescent="0.25">
      <c r="F19" s="32">
        <v>5</v>
      </c>
      <c r="G19" s="33" t="str">
        <f>CONCATENATE($B$4,Table11455[[#This Row],[Objective]])</f>
        <v>CLI5</v>
      </c>
      <c r="H19" s="34" t="s">
        <v>231</v>
      </c>
      <c r="I19" s="35">
        <v>0.1176</v>
      </c>
      <c r="J19" s="30"/>
      <c r="K19">
        <v>6</v>
      </c>
      <c r="L19" s="23" t="str">
        <f>CONCATENATE($L$12,"-",Table2416[[#This Row],[Subobjective]])</f>
        <v>WEA2-6</v>
      </c>
      <c r="M19" t="s">
        <v>259</v>
      </c>
      <c r="N19" s="9">
        <f>1/6</f>
        <v>0.16666666666666666</v>
      </c>
      <c r="P19" s="24" t="s">
        <v>239</v>
      </c>
      <c r="Q19" s="24" t="str">
        <f>G16</f>
        <v>CLI2</v>
      </c>
      <c r="R19" s="24" t="str">
        <f>H16</f>
        <v>Ice Sheet, Sea Ice Volume and Ice Dynamics</v>
      </c>
      <c r="S19" s="24"/>
      <c r="Z19">
        <v>2</v>
      </c>
      <c r="AA19" s="23" t="str">
        <f>CONCATENATE($AA$16,"-",Table2453672[[#This Row],[Subobjective]])</f>
        <v>WAT3-2</v>
      </c>
      <c r="AB19" t="s">
        <v>96</v>
      </c>
      <c r="AC19" s="9">
        <f>1/4</f>
        <v>0.25</v>
      </c>
      <c r="AE19">
        <v>15</v>
      </c>
      <c r="AF19" t="str">
        <f>CONCATENATE($AF$3,"-",Table2344177[[#This Row],[Subobjective]])</f>
        <v>HEA1-15</v>
      </c>
      <c r="AG19" t="s">
        <v>161</v>
      </c>
      <c r="AH19" s="27">
        <f>1/5*1/8</f>
        <v>2.5000000000000001E-2</v>
      </c>
      <c r="AJ19">
        <v>1</v>
      </c>
      <c r="AK19" s="23" t="str">
        <f>CONCATENATE($AK$17,"-",Table245224985[[#This Row],[Subobjective]])</f>
        <v>SOL3-1</v>
      </c>
      <c r="AL19" t="s">
        <v>143</v>
      </c>
      <c r="AM19" s="9">
        <f>0.8</f>
        <v>0.8</v>
      </c>
    </row>
    <row r="20" spans="6:39" customFormat="1" ht="15.75" thickBot="1" x14ac:dyDescent="0.3">
      <c r="F20" s="37"/>
      <c r="G20" s="38"/>
      <c r="H20" s="39"/>
      <c r="I20" s="40">
        <f>SUM(I15:I19)</f>
        <v>1</v>
      </c>
      <c r="J20" s="30"/>
      <c r="L20" s="23"/>
      <c r="N20" s="25">
        <f>SUM(N14:N19)</f>
        <v>1</v>
      </c>
      <c r="P20" t="s">
        <v>1</v>
      </c>
      <c r="Q20" t="s">
        <v>235</v>
      </c>
      <c r="R20" t="s">
        <v>236</v>
      </c>
      <c r="S20" t="s">
        <v>237</v>
      </c>
      <c r="U20" s="24" t="s">
        <v>240</v>
      </c>
      <c r="V20" s="24" t="str">
        <f>G26</f>
        <v>ECO3</v>
      </c>
      <c r="W20" s="24" t="str">
        <f>H26</f>
        <v>Carbon Budget</v>
      </c>
      <c r="X20" s="24"/>
      <c r="Z20">
        <v>3</v>
      </c>
      <c r="AA20" s="23" t="str">
        <f>CONCATENATE($AA$16,"-",Table2453672[[#This Row],[Subobjective]])</f>
        <v>WAT3-3</v>
      </c>
      <c r="AB20" t="s">
        <v>97</v>
      </c>
      <c r="AC20" s="9">
        <f>1/4</f>
        <v>0.25</v>
      </c>
      <c r="AE20">
        <v>16</v>
      </c>
      <c r="AF20" t="str">
        <f>CONCATENATE($AF$3,"-",Table2344177[[#This Row],[Subobjective]])</f>
        <v>HEA1-16</v>
      </c>
      <c r="AG20" t="s">
        <v>160</v>
      </c>
      <c r="AH20" s="27">
        <f t="shared" ref="AH20:AH25" si="2">1/6*1/8</f>
        <v>2.0833333333333332E-2</v>
      </c>
      <c r="AJ20">
        <v>2</v>
      </c>
      <c r="AK20" s="23" t="str">
        <f>CONCATENATE($AK$17,"-",Table245224985[[#This Row],[Subobjective]])</f>
        <v>SOL3-2</v>
      </c>
      <c r="AL20" t="s">
        <v>144</v>
      </c>
      <c r="AM20" s="9">
        <f>0.2</f>
        <v>0.2</v>
      </c>
    </row>
    <row r="21" spans="6:39" customFormat="1" ht="15.75" thickBot="1" x14ac:dyDescent="0.3">
      <c r="F21" s="29"/>
      <c r="G21" s="29"/>
      <c r="H21" s="29"/>
      <c r="I21" s="30"/>
      <c r="J21" s="30"/>
      <c r="K21" s="29"/>
      <c r="L21" s="29"/>
      <c r="M21" s="29"/>
      <c r="N21" s="29"/>
      <c r="P21">
        <v>1</v>
      </c>
      <c r="Q21" s="23" t="str">
        <f>CONCATENATE($Q$19,"-",Table242157[[#This Row],[Subobjective]])</f>
        <v>CLI2-1</v>
      </c>
      <c r="R21" t="s">
        <v>215</v>
      </c>
      <c r="S21" s="9">
        <f t="shared" ref="S21:S26" si="3">1/10</f>
        <v>0.1</v>
      </c>
      <c r="U21" t="s">
        <v>1</v>
      </c>
      <c r="V21" t="s">
        <v>235</v>
      </c>
      <c r="W21" t="s">
        <v>236</v>
      </c>
      <c r="X21" t="s">
        <v>237</v>
      </c>
      <c r="Z21">
        <v>4</v>
      </c>
      <c r="AA21" s="23" t="str">
        <f>CONCATENATE($AA$16,"-",Table2453672[[#This Row],[Subobjective]])</f>
        <v>WAT3-4</v>
      </c>
      <c r="AB21" t="s">
        <v>98</v>
      </c>
      <c r="AC21" s="9">
        <f>1/4</f>
        <v>0.25</v>
      </c>
      <c r="AE21">
        <v>17</v>
      </c>
      <c r="AF21" t="str">
        <f>CONCATENATE($AF$3,"-",Table2344177[[#This Row],[Subobjective]])</f>
        <v>HEA1-17</v>
      </c>
      <c r="AG21" t="s">
        <v>166</v>
      </c>
      <c r="AH21" s="27">
        <f t="shared" si="2"/>
        <v>2.0833333333333332E-2</v>
      </c>
      <c r="AK21" s="23"/>
      <c r="AM21" s="25">
        <f>SUM(AM19:AM20)</f>
        <v>1</v>
      </c>
    </row>
    <row r="22" spans="6:39" customFormat="1" x14ac:dyDescent="0.25">
      <c r="F22" s="67" t="str">
        <f>CONCATENATE($A$5," panel")</f>
        <v>Land panel</v>
      </c>
      <c r="G22" s="68"/>
      <c r="H22" s="68"/>
      <c r="I22" s="69"/>
      <c r="J22" s="30"/>
      <c r="K22" s="24" t="s">
        <v>240</v>
      </c>
      <c r="L22" s="24" t="str">
        <f>G6</f>
        <v>WEA3</v>
      </c>
      <c r="M22" s="24" t="str">
        <f>H6</f>
        <v>All-weather temperature and humidity profiles</v>
      </c>
      <c r="N22" s="24"/>
      <c r="P22">
        <v>2</v>
      </c>
      <c r="Q22" s="23" t="str">
        <f>CONCATENATE($Q$19,"-",Table242157[[#This Row],[Subobjective]])</f>
        <v>CLI2-2</v>
      </c>
      <c r="R22" t="s">
        <v>102</v>
      </c>
      <c r="S22" s="9">
        <f t="shared" si="3"/>
        <v>0.1</v>
      </c>
      <c r="U22">
        <v>1</v>
      </c>
      <c r="V22" s="23" t="str">
        <f>CONCATENATE($V$20,"-",Table245222763[[#This Row],[Subobjective]])</f>
        <v>ECO3-1</v>
      </c>
      <c r="W22" t="s">
        <v>127</v>
      </c>
      <c r="X22" s="9">
        <f>1/2</f>
        <v>0.5</v>
      </c>
      <c r="AA22" s="23"/>
      <c r="AC22" s="25">
        <f>SUM(AC18:AC21)</f>
        <v>1</v>
      </c>
      <c r="AE22">
        <v>18</v>
      </c>
      <c r="AF22" t="str">
        <f>CONCATENATE($AF$3,"-",Table2344177[[#This Row],[Subobjective]])</f>
        <v>HEA1-18</v>
      </c>
      <c r="AG22" t="s">
        <v>167</v>
      </c>
      <c r="AH22" s="27">
        <f t="shared" si="2"/>
        <v>2.0833333333333332E-2</v>
      </c>
    </row>
    <row r="23" spans="6:39" customFormat="1" x14ac:dyDescent="0.25">
      <c r="F23" s="32" t="s">
        <v>0</v>
      </c>
      <c r="G23" s="33" t="s">
        <v>235</v>
      </c>
      <c r="H23" s="34" t="s">
        <v>236</v>
      </c>
      <c r="I23" s="35" t="s">
        <v>237</v>
      </c>
      <c r="J23" s="30"/>
      <c r="K23" t="s">
        <v>1</v>
      </c>
      <c r="L23" t="s">
        <v>235</v>
      </c>
      <c r="M23" t="s">
        <v>236</v>
      </c>
      <c r="N23" t="s">
        <v>237</v>
      </c>
      <c r="P23">
        <v>3</v>
      </c>
      <c r="Q23" s="23" t="str">
        <f>CONCATENATE($Q$19,"-",Table242157[[#This Row],[Subobjective]])</f>
        <v>CLI2-3</v>
      </c>
      <c r="R23" t="s">
        <v>106</v>
      </c>
      <c r="S23" s="9">
        <f t="shared" si="3"/>
        <v>0.1</v>
      </c>
      <c r="U23">
        <v>2</v>
      </c>
      <c r="V23" s="23" t="str">
        <f>CONCATENATE($V$20,"-",Table245222763[[#This Row],[Subobjective]])</f>
        <v>ECO3-2</v>
      </c>
      <c r="W23" t="s">
        <v>129</v>
      </c>
      <c r="X23" s="9">
        <f>1/4</f>
        <v>0.25</v>
      </c>
      <c r="AE23">
        <v>19</v>
      </c>
      <c r="AF23" t="str">
        <f>CONCATENATE($AF$3,"-",Table2344177[[#This Row],[Subobjective]])</f>
        <v>HEA1-19</v>
      </c>
      <c r="AG23" t="s">
        <v>168</v>
      </c>
      <c r="AH23" s="27">
        <f t="shared" si="2"/>
        <v>2.0833333333333332E-2</v>
      </c>
      <c r="AJ23" s="24" t="s">
        <v>241</v>
      </c>
      <c r="AK23" s="24" t="str">
        <f>G57</f>
        <v>SOL4</v>
      </c>
      <c r="AL23" s="24" t="str">
        <f>H57</f>
        <v>Temporal variations in Earth gravity field</v>
      </c>
      <c r="AM23" s="24"/>
    </row>
    <row r="24" spans="6:39" customFormat="1" x14ac:dyDescent="0.25">
      <c r="F24" s="32">
        <v>1</v>
      </c>
      <c r="G24" s="33" t="str">
        <f>CONCATENATE($B$5,Table1142965[[#This Row],[Objective]])</f>
        <v>ECO1</v>
      </c>
      <c r="H24" s="36" t="s">
        <v>113</v>
      </c>
      <c r="I24" s="35">
        <v>0.28000000000000003</v>
      </c>
      <c r="J24" s="30"/>
      <c r="K24">
        <v>1</v>
      </c>
      <c r="L24" s="23" t="str">
        <f>CONCATENATE($L$22,"-",Table24517[[#This Row],[Subobjective]])</f>
        <v>WEA3-1</v>
      </c>
      <c r="M24" t="s">
        <v>54</v>
      </c>
      <c r="N24" s="9">
        <f>1/4</f>
        <v>0.25</v>
      </c>
      <c r="P24">
        <v>4</v>
      </c>
      <c r="Q24" s="23" t="str">
        <f>CONCATENATE($Q$19,"-",Table242157[[#This Row],[Subobjective]])</f>
        <v>CLI2-4</v>
      </c>
      <c r="R24" t="s">
        <v>216</v>
      </c>
      <c r="S24" s="9">
        <f t="shared" si="3"/>
        <v>0.1</v>
      </c>
      <c r="U24">
        <v>3</v>
      </c>
      <c r="V24" s="23" t="str">
        <f>CONCATENATE($V$20,"-",Table245222763[[#This Row],[Subobjective]])</f>
        <v>ECO3-3</v>
      </c>
      <c r="W24" t="s">
        <v>130</v>
      </c>
      <c r="X24" s="9">
        <f>1/4</f>
        <v>0.25</v>
      </c>
      <c r="Z24" s="24" t="s">
        <v>241</v>
      </c>
      <c r="AA24" s="24" t="str">
        <f>G36</f>
        <v>WAT4</v>
      </c>
      <c r="AB24" s="24" t="str">
        <f>H36</f>
        <v>Water vapor transport</v>
      </c>
      <c r="AC24" s="24"/>
      <c r="AE24">
        <v>20</v>
      </c>
      <c r="AF24" t="str">
        <f>CONCATENATE($AF$3,"-",Table2344177[[#This Row],[Subobjective]])</f>
        <v>HEA1-20</v>
      </c>
      <c r="AG24" t="s">
        <v>169</v>
      </c>
      <c r="AH24" s="27">
        <f t="shared" si="2"/>
        <v>2.0833333333333332E-2</v>
      </c>
      <c r="AJ24" t="s">
        <v>1</v>
      </c>
      <c r="AK24" t="s">
        <v>235</v>
      </c>
      <c r="AL24" t="s">
        <v>236</v>
      </c>
      <c r="AM24" t="s">
        <v>237</v>
      </c>
    </row>
    <row r="25" spans="6:39" customFormat="1" x14ac:dyDescent="0.25">
      <c r="F25" s="32">
        <v>2</v>
      </c>
      <c r="G25" s="33" t="str">
        <f>CONCATENATE($B$5,Table1142965[[#This Row],[Objective]])</f>
        <v>ECO2</v>
      </c>
      <c r="H25" s="34" t="s">
        <v>114</v>
      </c>
      <c r="I25" s="35">
        <v>0.24</v>
      </c>
      <c r="J25" s="30"/>
      <c r="K25">
        <v>2</v>
      </c>
      <c r="L25" s="23" t="str">
        <f>CONCATENATE($L$22,"-",Table24517[[#This Row],[Subobjective]])</f>
        <v>WEA3-2</v>
      </c>
      <c r="M25" t="s">
        <v>56</v>
      </c>
      <c r="N25" s="9">
        <f>1/4</f>
        <v>0.25</v>
      </c>
      <c r="P25">
        <v>5</v>
      </c>
      <c r="Q25" s="23" t="str">
        <f>CONCATENATE($Q$19,"-",Table242157[[#This Row],[Subobjective]])</f>
        <v>CLI2-5</v>
      </c>
      <c r="R25" t="s">
        <v>100</v>
      </c>
      <c r="S25" s="9">
        <f t="shared" si="3"/>
        <v>0.1</v>
      </c>
      <c r="V25" s="23"/>
      <c r="X25" s="25">
        <f>SUM(X22:X24)</f>
        <v>1</v>
      </c>
      <c r="Z25" t="s">
        <v>1</v>
      </c>
      <c r="AA25" t="s">
        <v>235</v>
      </c>
      <c r="AB25" t="s">
        <v>236</v>
      </c>
      <c r="AC25" t="s">
        <v>237</v>
      </c>
      <c r="AE25">
        <v>21</v>
      </c>
      <c r="AF25" t="str">
        <f>CONCATENATE($AF$3,"-",Table2344177[[#This Row],[Subobjective]])</f>
        <v>HEA1-21</v>
      </c>
      <c r="AG25" t="s">
        <v>170</v>
      </c>
      <c r="AH25" s="27">
        <f t="shared" si="2"/>
        <v>2.0833333333333332E-2</v>
      </c>
      <c r="AJ25">
        <v>1</v>
      </c>
      <c r="AK25" s="23" t="str">
        <f>CONCATENATE($AK$23,"-",Table2456235086[[#This Row],[Subobjective]])</f>
        <v>SOL4-1</v>
      </c>
      <c r="AL25" t="s">
        <v>146</v>
      </c>
      <c r="AM25" s="9">
        <f>1/2</f>
        <v>0.5</v>
      </c>
    </row>
    <row r="26" spans="6:39" customFormat="1" x14ac:dyDescent="0.25">
      <c r="F26" s="32">
        <v>3</v>
      </c>
      <c r="G26" s="33" t="str">
        <f>CONCATENATE($B$5,Table1142965[[#This Row],[Objective]])</f>
        <v>ECO3</v>
      </c>
      <c r="H26" s="34" t="s">
        <v>115</v>
      </c>
      <c r="I26" s="35">
        <v>0.2</v>
      </c>
      <c r="J26" s="30"/>
      <c r="K26">
        <v>3</v>
      </c>
      <c r="L26" s="23" t="str">
        <f>CONCATENATE($L$22,"-",Table24517[[#This Row],[Subobjective]])</f>
        <v>WEA3-3</v>
      </c>
      <c r="M26" t="s">
        <v>57</v>
      </c>
      <c r="N26" s="9">
        <f>1/4</f>
        <v>0.25</v>
      </c>
      <c r="P26">
        <v>6</v>
      </c>
      <c r="Q26" s="23" t="str">
        <f>CONCATENATE($Q$19,"-",Table242157[[#This Row],[Subobjective]])</f>
        <v>CLI2-6</v>
      </c>
      <c r="R26" t="s">
        <v>101</v>
      </c>
      <c r="S26" s="9">
        <f t="shared" si="3"/>
        <v>0.1</v>
      </c>
      <c r="Z26">
        <v>1</v>
      </c>
      <c r="AA26" s="23" t="str">
        <f>CONCATENATE($AA$24,"-",Table24563773[[#This Row],[Subobjective]])</f>
        <v>WAT4-1</v>
      </c>
      <c r="AB26" t="s">
        <v>99</v>
      </c>
      <c r="AC26" s="9">
        <f>1/2</f>
        <v>0.5</v>
      </c>
      <c r="AH26" s="25">
        <f>SUM(AH5:AH25)</f>
        <v>1.0000000000000002</v>
      </c>
      <c r="AJ26">
        <v>2</v>
      </c>
      <c r="AK26" s="23" t="str">
        <f>CONCATENATE($AK$23,"-",Table2456235086[[#This Row],[Subobjective]])</f>
        <v>SOL4-2</v>
      </c>
      <c r="AL26" t="s">
        <v>209</v>
      </c>
      <c r="AM26" s="9">
        <f>1/6</f>
        <v>0.16666666666666666</v>
      </c>
    </row>
    <row r="27" spans="6:39" customFormat="1" x14ac:dyDescent="0.25">
      <c r="F27" s="32">
        <v>4</v>
      </c>
      <c r="G27" s="33" t="str">
        <f>CONCATENATE($B$5,Table1142965[[#This Row],[Objective]])</f>
        <v>ECO4</v>
      </c>
      <c r="H27" s="34" t="s">
        <v>116</v>
      </c>
      <c r="I27" s="35">
        <v>0.16</v>
      </c>
      <c r="J27" s="30"/>
      <c r="K27">
        <v>4</v>
      </c>
      <c r="L27" s="23" t="str">
        <f>CONCATENATE($L$22,"-",Table24517[[#This Row],[Subobjective]])</f>
        <v>WEA3-4</v>
      </c>
      <c r="M27" t="s">
        <v>260</v>
      </c>
      <c r="N27" s="9">
        <f>1/4</f>
        <v>0.25</v>
      </c>
      <c r="P27">
        <v>7</v>
      </c>
      <c r="Q27" s="23" t="str">
        <f>CONCATENATE($Q$19,"-",Table242157[[#This Row],[Subobjective]])</f>
        <v>CLI2-7</v>
      </c>
      <c r="R27" t="s">
        <v>103</v>
      </c>
      <c r="S27" s="27">
        <f>4/10</f>
        <v>0.4</v>
      </c>
      <c r="U27" s="24" t="s">
        <v>241</v>
      </c>
      <c r="V27" s="24" t="str">
        <f>G27</f>
        <v>ECO4</v>
      </c>
      <c r="W27" s="24" t="str">
        <f>H27</f>
        <v>Coastal Ecosystem Dynamics</v>
      </c>
      <c r="X27" s="24"/>
      <c r="Z27">
        <v>2</v>
      </c>
      <c r="AA27" s="23" t="str">
        <f>CONCATENATE($AA$24,"-",Table24563773[[#This Row],[Subobjective]])</f>
        <v>WAT4-2</v>
      </c>
      <c r="AB27" t="s">
        <v>82</v>
      </c>
      <c r="AC27" s="9">
        <f>1/6</f>
        <v>0.16666666666666666</v>
      </c>
      <c r="AH27" s="25"/>
      <c r="AJ27">
        <v>3</v>
      </c>
      <c r="AK27" s="23" t="str">
        <f>CONCATENATE($AK$23,"-",Table2456235086[[#This Row],[Subobjective]])</f>
        <v>SOL4-3</v>
      </c>
      <c r="AL27" t="s">
        <v>210</v>
      </c>
      <c r="AM27" s="9">
        <f>1/6</f>
        <v>0.16666666666666666</v>
      </c>
    </row>
    <row r="28" spans="6:39" customFormat="1" x14ac:dyDescent="0.25">
      <c r="F28" s="32">
        <v>5</v>
      </c>
      <c r="G28" s="33" t="str">
        <f>CONCATENATE($B$5,Table1142965[[#This Row],[Objective]])</f>
        <v>ECO5</v>
      </c>
      <c r="H28" s="34" t="s">
        <v>117</v>
      </c>
      <c r="I28" s="35">
        <v>0.12</v>
      </c>
      <c r="J28" s="30"/>
      <c r="L28" s="23"/>
      <c r="N28" s="25">
        <f>SUM(N24:N27)</f>
        <v>1</v>
      </c>
      <c r="Q28" s="23"/>
      <c r="S28" s="25">
        <f>SUM(S21:S27)</f>
        <v>1</v>
      </c>
      <c r="U28" t="s">
        <v>1</v>
      </c>
      <c r="V28" t="s">
        <v>235</v>
      </c>
      <c r="W28" t="s">
        <v>236</v>
      </c>
      <c r="X28" t="s">
        <v>237</v>
      </c>
      <c r="Z28">
        <v>3</v>
      </c>
      <c r="AA28" s="23" t="str">
        <f>CONCATENATE($AA$24,"-",Table24563773[[#This Row],[Subobjective]])</f>
        <v>WAT4-3</v>
      </c>
      <c r="AB28" t="s">
        <v>44</v>
      </c>
      <c r="AC28" s="9">
        <f>1/6</f>
        <v>0.16666666666666666</v>
      </c>
      <c r="AE28" s="24" t="s">
        <v>239</v>
      </c>
      <c r="AF28" s="24" t="str">
        <f>G45</f>
        <v>HEA2</v>
      </c>
      <c r="AG28" s="24" t="str">
        <f>H45</f>
        <v>Heat Stress and Drought</v>
      </c>
      <c r="AH28" s="24"/>
      <c r="AJ28">
        <v>4</v>
      </c>
      <c r="AK28" s="23" t="str">
        <f>CONCATENATE($AK$23,"-",Table2456235086[[#This Row],[Subobjective]])</f>
        <v>SOL4-4</v>
      </c>
      <c r="AL28" t="s">
        <v>211</v>
      </c>
      <c r="AM28" s="9">
        <f>1/6</f>
        <v>0.16666666666666666</v>
      </c>
    </row>
    <row r="29" spans="6:39" customFormat="1" ht="15.75" thickBot="1" x14ac:dyDescent="0.3">
      <c r="F29" s="37"/>
      <c r="G29" s="38"/>
      <c r="H29" s="39"/>
      <c r="I29" s="40">
        <f>SUM(I24:I28)</f>
        <v>1</v>
      </c>
      <c r="J29" s="30"/>
      <c r="K29" s="29"/>
      <c r="L29" s="29"/>
      <c r="M29" s="29"/>
      <c r="N29" s="29"/>
      <c r="U29">
        <v>1</v>
      </c>
      <c r="V29" s="23" t="str">
        <f>CONCATENATE($V$27,"-",Table2456232864[[#This Row],[Subobjective]])</f>
        <v>ECO4-1</v>
      </c>
      <c r="W29" t="s">
        <v>131</v>
      </c>
      <c r="X29" s="9">
        <f>1/4</f>
        <v>0.25</v>
      </c>
      <c r="Z29">
        <v>4</v>
      </c>
      <c r="AA29" s="23" t="str">
        <f>CONCATENATE($AA$24,"-",Table24563773[[#This Row],[Subobjective]])</f>
        <v>WAT4-4</v>
      </c>
      <c r="AB29" t="s">
        <v>45</v>
      </c>
      <c r="AC29" s="9">
        <f>1/6</f>
        <v>0.16666666666666666</v>
      </c>
      <c r="AE29" t="s">
        <v>1</v>
      </c>
      <c r="AF29" t="s">
        <v>235</v>
      </c>
      <c r="AG29" t="s">
        <v>236</v>
      </c>
      <c r="AH29" t="s">
        <v>237</v>
      </c>
      <c r="AK29" s="23"/>
      <c r="AM29" s="25">
        <f>SUM(AM25:AM28)</f>
        <v>0.99999999999999989</v>
      </c>
    </row>
    <row r="30" spans="6:39" customFormat="1" ht="15.75" thickBot="1" x14ac:dyDescent="0.3">
      <c r="F30" s="29"/>
      <c r="G30" s="29"/>
      <c r="H30" s="29"/>
      <c r="I30" s="30"/>
      <c r="J30" s="30"/>
      <c r="K30" s="24" t="s">
        <v>241</v>
      </c>
      <c r="L30" s="24" t="str">
        <f>G7</f>
        <v>WEA4</v>
      </c>
      <c r="M30" s="24" t="str">
        <f>H7</f>
        <v>Comprehensive global tropospheric aerosol characterization</v>
      </c>
      <c r="N30" s="24"/>
      <c r="P30" s="24" t="s">
        <v>240</v>
      </c>
      <c r="Q30" s="24" t="str">
        <f>G17</f>
        <v>CLI3</v>
      </c>
      <c r="R30" s="24" t="str">
        <f>H17</f>
        <v>Carbon Sources and Sinks</v>
      </c>
      <c r="S30" s="24"/>
      <c r="U30">
        <v>2</v>
      </c>
      <c r="V30" s="23" t="str">
        <f>CONCATENATE($V$27,"-",Table2456232864[[#This Row],[Subobjective]])</f>
        <v>ECO4-2</v>
      </c>
      <c r="W30" t="s">
        <v>132</v>
      </c>
      <c r="X30" s="9">
        <f>1/4</f>
        <v>0.25</v>
      </c>
      <c r="AA30" s="23"/>
      <c r="AC30" s="25">
        <f>SUM(AC26:AC29)</f>
        <v>0.99999999999999989</v>
      </c>
      <c r="AE30">
        <v>1</v>
      </c>
      <c r="AF30" s="23" t="str">
        <f>CONCATENATE($AF$28,"-",Table24354278[[#This Row],[Subobjective]])</f>
        <v>HEA2-1</v>
      </c>
      <c r="AG30" t="s">
        <v>172</v>
      </c>
      <c r="AH30" s="9">
        <f>1/4</f>
        <v>0.25</v>
      </c>
    </row>
    <row r="31" spans="6:39" customFormat="1" x14ac:dyDescent="0.25">
      <c r="F31" s="67" t="str">
        <f>CONCATENATE($A$6," panel")</f>
        <v>Water panel</v>
      </c>
      <c r="G31" s="68"/>
      <c r="H31" s="68"/>
      <c r="I31" s="69"/>
      <c r="J31" s="30"/>
      <c r="K31" t="s">
        <v>1</v>
      </c>
      <c r="L31" t="s">
        <v>235</v>
      </c>
      <c r="M31" t="s">
        <v>236</v>
      </c>
      <c r="N31" t="s">
        <v>237</v>
      </c>
      <c r="P31" t="s">
        <v>1</v>
      </c>
      <c r="Q31" t="s">
        <v>235</v>
      </c>
      <c r="R31" t="s">
        <v>236</v>
      </c>
      <c r="S31" t="s">
        <v>237</v>
      </c>
      <c r="U31">
        <v>3</v>
      </c>
      <c r="V31" s="23" t="str">
        <f>CONCATENATE($V$27,"-",Table2456232864[[#This Row],[Subobjective]])</f>
        <v>ECO4-3</v>
      </c>
      <c r="W31" t="s">
        <v>133</v>
      </c>
      <c r="X31" s="9">
        <f>1/4</f>
        <v>0.25</v>
      </c>
      <c r="AE31">
        <v>2</v>
      </c>
      <c r="AF31" s="23" t="str">
        <f>CONCATENATE($AF$28,"-",Table24354278[[#This Row],[Subobjective]])</f>
        <v>HEA2-2</v>
      </c>
      <c r="AG31" t="s">
        <v>173</v>
      </c>
      <c r="AH31" s="9">
        <f>1/4</f>
        <v>0.25</v>
      </c>
      <c r="AJ31" s="24" t="s">
        <v>242</v>
      </c>
      <c r="AK31" s="24" t="str">
        <f>G58</f>
        <v>SOL5</v>
      </c>
      <c r="AL31" s="24" t="str">
        <f>H58</f>
        <v>Oceanic bathymetry</v>
      </c>
      <c r="AM31" s="24"/>
    </row>
    <row r="32" spans="6:39" customFormat="1" x14ac:dyDescent="0.25">
      <c r="F32" s="32" t="s">
        <v>0</v>
      </c>
      <c r="G32" s="33" t="s">
        <v>235</v>
      </c>
      <c r="H32" s="34" t="s">
        <v>236</v>
      </c>
      <c r="I32" s="35" t="s">
        <v>237</v>
      </c>
      <c r="J32" s="30"/>
      <c r="K32">
        <v>1</v>
      </c>
      <c r="L32" s="23" t="str">
        <f>CONCATENATE($L$30,"-",Table245618[[#This Row],[Subobjective]])</f>
        <v>WEA4-1</v>
      </c>
      <c r="M32" t="s">
        <v>60</v>
      </c>
      <c r="N32" s="9">
        <f>1/5</f>
        <v>0.2</v>
      </c>
      <c r="P32">
        <v>1</v>
      </c>
      <c r="Q32" s="23" t="str">
        <f>CONCATENATE($Q$30,"-",Table2452258[[#This Row],[Subobjective]])</f>
        <v>CLI3-1</v>
      </c>
      <c r="R32" t="s">
        <v>218</v>
      </c>
      <c r="S32" s="9">
        <f t="shared" ref="S32:S37" si="4">1/6</f>
        <v>0.16666666666666666</v>
      </c>
      <c r="U32">
        <v>4</v>
      </c>
      <c r="V32" s="23" t="str">
        <f>CONCATENATE($V$27,"-",Table2456232864[[#This Row],[Subobjective]])</f>
        <v>ECO4-4</v>
      </c>
      <c r="W32" t="s">
        <v>134</v>
      </c>
      <c r="X32" s="9">
        <f>1/4</f>
        <v>0.25</v>
      </c>
      <c r="Z32" s="24" t="s">
        <v>242</v>
      </c>
      <c r="AA32" s="24" t="str">
        <f>G37</f>
        <v>WAT5</v>
      </c>
      <c r="AB32" s="24" t="str">
        <f>H37</f>
        <v>Sea Ice thickness, glacier surface elevation and glacier velocity</v>
      </c>
      <c r="AC32" s="24"/>
      <c r="AE32">
        <v>3</v>
      </c>
      <c r="AF32" s="23" t="str">
        <f>CONCATENATE($AF$28,"-",Table24354278[[#This Row],[Subobjective]])</f>
        <v>HEA2-3</v>
      </c>
      <c r="AG32" t="s">
        <v>118</v>
      </c>
      <c r="AH32" s="9">
        <f>1/4</f>
        <v>0.25</v>
      </c>
      <c r="AJ32" t="s">
        <v>1</v>
      </c>
      <c r="AK32" t="s">
        <v>235</v>
      </c>
      <c r="AL32" t="s">
        <v>236</v>
      </c>
      <c r="AM32" t="s">
        <v>237</v>
      </c>
    </row>
    <row r="33" spans="6:39" customFormat="1" x14ac:dyDescent="0.25">
      <c r="F33" s="32">
        <v>1</v>
      </c>
      <c r="G33" s="33" t="str">
        <f>CONCATENATE($B$6,Table114293066[[#This Row],[Objective]])</f>
        <v>WAT1</v>
      </c>
      <c r="H33" s="36" t="s">
        <v>79</v>
      </c>
      <c r="I33" s="35">
        <v>0.28699999999999998</v>
      </c>
      <c r="J33" s="30"/>
      <c r="K33">
        <v>2</v>
      </c>
      <c r="L33" s="23" t="str">
        <f>CONCATENATE($L$30,"-",Table245618[[#This Row],[Subobjective]])</f>
        <v>WEA4-2</v>
      </c>
      <c r="M33" t="s">
        <v>59</v>
      </c>
      <c r="N33" s="9">
        <f>1/5</f>
        <v>0.2</v>
      </c>
      <c r="P33">
        <v>2</v>
      </c>
      <c r="Q33" s="23" t="str">
        <f>CONCATENATE($Q$30,"-",Table2452258[[#This Row],[Subobjective]])</f>
        <v>CLI3-2</v>
      </c>
      <c r="R33" t="s">
        <v>219</v>
      </c>
      <c r="S33" s="9">
        <f t="shared" si="4"/>
        <v>0.16666666666666666</v>
      </c>
      <c r="V33" s="23"/>
      <c r="X33" s="25">
        <f>SUM(X29:X32)</f>
        <v>1</v>
      </c>
      <c r="Z33" t="s">
        <v>1</v>
      </c>
      <c r="AA33" t="s">
        <v>235</v>
      </c>
      <c r="AB33" t="s">
        <v>236</v>
      </c>
      <c r="AC33" t="s">
        <v>237</v>
      </c>
      <c r="AE33">
        <v>4</v>
      </c>
      <c r="AF33" s="23" t="str">
        <f>CONCATENATE($AF$28,"-",Table24354278[[#This Row],[Subobjective]])</f>
        <v>HEA2-4</v>
      </c>
      <c r="AG33" t="s">
        <v>174</v>
      </c>
      <c r="AH33" s="9">
        <f>1/4</f>
        <v>0.25</v>
      </c>
      <c r="AJ33">
        <v>1</v>
      </c>
      <c r="AK33" s="23" t="str">
        <f>CONCATENATE($AK$31,"-",Table24567245187[[#This Row],[Subobjective]])</f>
        <v>SOL5-1</v>
      </c>
      <c r="AL33" t="s">
        <v>94</v>
      </c>
      <c r="AM33" s="9">
        <v>1</v>
      </c>
    </row>
    <row r="34" spans="6:39" customFormat="1" x14ac:dyDescent="0.25">
      <c r="F34" s="32">
        <v>2</v>
      </c>
      <c r="G34" s="33" t="str">
        <f>CONCATENATE($B$6,Table114293066[[#This Row],[Objective]])</f>
        <v>WAT2</v>
      </c>
      <c r="H34" s="34" t="s">
        <v>80</v>
      </c>
      <c r="I34" s="35">
        <v>0.23799999999999999</v>
      </c>
      <c r="J34" s="30"/>
      <c r="K34">
        <v>3</v>
      </c>
      <c r="L34" s="23" t="str">
        <f>CONCATENATE($L$30,"-",Table245618[[#This Row],[Subobjective]])</f>
        <v>WEA4-3</v>
      </c>
      <c r="M34" t="s">
        <v>61</v>
      </c>
      <c r="N34" s="9">
        <f>1/5</f>
        <v>0.2</v>
      </c>
      <c r="P34">
        <v>3</v>
      </c>
      <c r="Q34" s="23" t="str">
        <f>CONCATENATE($Q$30,"-",Table2452258[[#This Row],[Subobjective]])</f>
        <v>CLI3-3</v>
      </c>
      <c r="R34" t="s">
        <v>220</v>
      </c>
      <c r="S34" s="9">
        <f t="shared" si="4"/>
        <v>0.16666666666666666</v>
      </c>
      <c r="Z34">
        <v>1</v>
      </c>
      <c r="AA34" s="23" t="str">
        <f>CONCATENATE($AA$32,"-",Table245673874[[#This Row],[Subobjective]])</f>
        <v>WAT5-1</v>
      </c>
      <c r="AB34" t="s">
        <v>100</v>
      </c>
      <c r="AC34" s="9">
        <f>1/4</f>
        <v>0.25</v>
      </c>
      <c r="AF34" s="23"/>
      <c r="AH34" s="25">
        <f>SUM(AH30:AH33)</f>
        <v>1</v>
      </c>
      <c r="AK34" s="23"/>
      <c r="AM34" s="25">
        <f>SUM(AM33:AM33)</f>
        <v>1</v>
      </c>
    </row>
    <row r="35" spans="6:39" customFormat="1" x14ac:dyDescent="0.25">
      <c r="F35" s="32">
        <v>3</v>
      </c>
      <c r="G35" s="33" t="str">
        <f>CONCATENATE($B$6,Table114293066[[#This Row],[Objective]])</f>
        <v>WAT3</v>
      </c>
      <c r="H35" s="34" t="s">
        <v>81</v>
      </c>
      <c r="I35" s="35">
        <v>0.19</v>
      </c>
      <c r="J35" s="30"/>
      <c r="K35">
        <v>4</v>
      </c>
      <c r="L35" s="23" t="str">
        <f>CONCATENATE($L$30,"-",Table245618[[#This Row],[Subobjective]])</f>
        <v>WEA4-4</v>
      </c>
      <c r="M35" t="s">
        <v>62</v>
      </c>
      <c r="N35" s="9">
        <f>1/5</f>
        <v>0.2</v>
      </c>
      <c r="P35">
        <v>4</v>
      </c>
      <c r="Q35" s="23" t="str">
        <f>CONCATENATE($Q$30,"-",Table2452258[[#This Row],[Subobjective]])</f>
        <v>CLI3-4</v>
      </c>
      <c r="R35" t="s">
        <v>221</v>
      </c>
      <c r="S35" s="9">
        <f t="shared" si="4"/>
        <v>0.16666666666666666</v>
      </c>
      <c r="U35" s="24" t="s">
        <v>242</v>
      </c>
      <c r="V35" s="24" t="str">
        <f>G28</f>
        <v>ECO5</v>
      </c>
      <c r="W35" s="24" t="str">
        <f>H28</f>
        <v>Global Ocean Productivity</v>
      </c>
      <c r="X35" s="24"/>
      <c r="Z35">
        <v>2</v>
      </c>
      <c r="AA35" s="23" t="str">
        <f>CONCATENATE($AA$32,"-",Table245673874[[#This Row],[Subobjective]])</f>
        <v>WAT5-2</v>
      </c>
      <c r="AB35" t="s">
        <v>101</v>
      </c>
      <c r="AC35" s="9">
        <f>1/4</f>
        <v>0.25</v>
      </c>
    </row>
    <row r="36" spans="6:39" customFormat="1" x14ac:dyDescent="0.25">
      <c r="F36" s="32">
        <v>4</v>
      </c>
      <c r="G36" s="33" t="str">
        <f>CONCATENATE($B$6,Table114293066[[#This Row],[Objective]])</f>
        <v>WAT4</v>
      </c>
      <c r="H36" s="34" t="s">
        <v>82</v>
      </c>
      <c r="I36" s="35">
        <v>9.5000000000000001E-2</v>
      </c>
      <c r="J36" s="30"/>
      <c r="K36">
        <v>5</v>
      </c>
      <c r="L36" s="23" t="str">
        <f>CONCATENATE($L$30,"-",Table245618[[#This Row],[Subobjective]])</f>
        <v>WEA4-5</v>
      </c>
      <c r="M36" t="s">
        <v>63</v>
      </c>
      <c r="N36" s="9">
        <f>1/5</f>
        <v>0.2</v>
      </c>
      <c r="P36">
        <v>5</v>
      </c>
      <c r="Q36" s="23" t="str">
        <f>CONCATENATE($Q$30,"-",Table2452258[[#This Row],[Subobjective]])</f>
        <v>CLI3-5</v>
      </c>
      <c r="R36" t="s">
        <v>222</v>
      </c>
      <c r="S36" s="9">
        <f t="shared" si="4"/>
        <v>0.16666666666666666</v>
      </c>
      <c r="U36" t="s">
        <v>1</v>
      </c>
      <c r="V36" t="s">
        <v>235</v>
      </c>
      <c r="W36" t="s">
        <v>236</v>
      </c>
      <c r="X36" t="s">
        <v>237</v>
      </c>
      <c r="Z36">
        <v>3</v>
      </c>
      <c r="AA36" s="23" t="str">
        <f>CONCATENATE($AA$32,"-",Table245673874[[#This Row],[Subobjective]])</f>
        <v>WAT5-3</v>
      </c>
      <c r="AB36" t="s">
        <v>102</v>
      </c>
      <c r="AC36" s="9">
        <f>1/4</f>
        <v>0.25</v>
      </c>
      <c r="AE36" s="24" t="s">
        <v>240</v>
      </c>
      <c r="AF36" s="24" t="str">
        <f>G46</f>
        <v>HEA3</v>
      </c>
      <c r="AG36" s="24" t="str">
        <f>H46</f>
        <v>Acute Toxic Pollution and Releases</v>
      </c>
      <c r="AH36" s="24"/>
    </row>
    <row r="37" spans="6:39" customFormat="1" x14ac:dyDescent="0.25">
      <c r="F37" s="32">
        <v>5</v>
      </c>
      <c r="G37" s="33" t="str">
        <f>CONCATENATE($B$6,Table114293066[[#This Row],[Objective]])</f>
        <v>WAT5</v>
      </c>
      <c r="H37" s="34" t="s">
        <v>83</v>
      </c>
      <c r="I37" s="35">
        <v>7.9000000000000001E-2</v>
      </c>
      <c r="J37" s="30"/>
      <c r="L37" s="23"/>
      <c r="N37" s="25">
        <f>SUM(N32:N36)</f>
        <v>1</v>
      </c>
      <c r="P37">
        <v>6</v>
      </c>
      <c r="Q37" s="23" t="str">
        <f>CONCATENATE($Q$30,"-",Table2452258[[#This Row],[Subobjective]])</f>
        <v>CLI3-6</v>
      </c>
      <c r="R37" t="s">
        <v>223</v>
      </c>
      <c r="S37" s="9">
        <f t="shared" si="4"/>
        <v>0.16666666666666666</v>
      </c>
      <c r="U37">
        <v>1</v>
      </c>
      <c r="V37" s="23" t="str">
        <f>CONCATENATE($V$35,"-",Table24567243369[[#This Row],[Subobjective]])</f>
        <v>ECO5-1</v>
      </c>
      <c r="W37" t="s">
        <v>135</v>
      </c>
      <c r="X37" s="9">
        <f>1/2</f>
        <v>0.5</v>
      </c>
      <c r="Z37">
        <v>4</v>
      </c>
      <c r="AA37" s="23" t="str">
        <f>CONCATENATE($AA$32,"-",Table245673874[[#This Row],[Subobjective]])</f>
        <v>WAT5-4</v>
      </c>
      <c r="AB37" t="s">
        <v>103</v>
      </c>
      <c r="AC37" s="9">
        <f>1/4</f>
        <v>0.25</v>
      </c>
      <c r="AE37" t="s">
        <v>1</v>
      </c>
      <c r="AF37" t="s">
        <v>235</v>
      </c>
      <c r="AG37" t="s">
        <v>236</v>
      </c>
      <c r="AH37" t="s">
        <v>237</v>
      </c>
    </row>
    <row r="38" spans="6:39" customFormat="1" x14ac:dyDescent="0.25">
      <c r="F38" s="32">
        <v>6</v>
      </c>
      <c r="G38" s="33" t="str">
        <f>CONCATENATE($B$6,Table114293066[[#This Row],[Objective]])</f>
        <v>WAT6</v>
      </c>
      <c r="H38" s="34" t="s">
        <v>84</v>
      </c>
      <c r="I38" s="41">
        <v>6.3E-2</v>
      </c>
      <c r="J38" s="30"/>
      <c r="Q38" s="23"/>
      <c r="S38" s="25">
        <f>SUM(S32:S37)</f>
        <v>0.99999999999999989</v>
      </c>
      <c r="U38">
        <v>2</v>
      </c>
      <c r="V38" s="23" t="str">
        <f>CONCATENATE($V$35,"-",Table24567243369[[#This Row],[Subobjective]])</f>
        <v>ECO5-2</v>
      </c>
      <c r="W38" t="s">
        <v>136</v>
      </c>
      <c r="X38" s="9">
        <f>1/4</f>
        <v>0.25</v>
      </c>
      <c r="AA38" s="23"/>
      <c r="AC38" s="25">
        <f>SUM(AC34:AC37)</f>
        <v>1</v>
      </c>
      <c r="AE38">
        <v>1</v>
      </c>
      <c r="AF38" s="23" t="str">
        <f>CONCATENATE($AF$36,"-",Table245364379[[#This Row],[Subobjective]])</f>
        <v>HEA3-1</v>
      </c>
      <c r="AG38" t="s">
        <v>176</v>
      </c>
      <c r="AH38" s="9">
        <f>1/4</f>
        <v>0.25</v>
      </c>
    </row>
    <row r="39" spans="6:39" customFormat="1" x14ac:dyDescent="0.25">
      <c r="F39" s="32">
        <v>7</v>
      </c>
      <c r="G39" s="33" t="str">
        <f>CONCATENATE($B$6,Table114293066[[#This Row],[Objective]])</f>
        <v>WAT7</v>
      </c>
      <c r="H39" s="34" t="s">
        <v>85</v>
      </c>
      <c r="I39" s="35">
        <v>4.8000000000000001E-2</v>
      </c>
      <c r="J39" s="30"/>
      <c r="K39" s="24" t="s">
        <v>242</v>
      </c>
      <c r="L39" s="24" t="str">
        <f>G8</f>
        <v>WEA5</v>
      </c>
      <c r="M39" s="24" t="str">
        <f>H8</f>
        <v>Radio Occultation</v>
      </c>
      <c r="N39" s="24"/>
      <c r="U39">
        <v>3</v>
      </c>
      <c r="V39" s="23" t="str">
        <f>CONCATENATE($V$35,"-",Table24567243369[[#This Row],[Subobjective]])</f>
        <v>ECO5-3</v>
      </c>
      <c r="W39" t="s">
        <v>137</v>
      </c>
      <c r="X39" s="9">
        <f>1/4</f>
        <v>0.25</v>
      </c>
      <c r="AE39">
        <v>2</v>
      </c>
      <c r="AF39" s="23" t="str">
        <f>CONCATENATE($AF$36,"-",Table245364379[[#This Row],[Subobjective]])</f>
        <v>HEA3-2</v>
      </c>
      <c r="AG39" t="s">
        <v>177</v>
      </c>
      <c r="AH39" s="9">
        <f>1/4</f>
        <v>0.25</v>
      </c>
    </row>
    <row r="40" spans="6:39" customFormat="1" ht="15.75" thickBot="1" x14ac:dyDescent="0.3">
      <c r="F40" s="37"/>
      <c r="G40" s="38"/>
      <c r="H40" s="39"/>
      <c r="I40" s="40">
        <f>SUM(I33:I39)</f>
        <v>0.99999999999999978</v>
      </c>
      <c r="J40" s="30"/>
      <c r="K40" t="s">
        <v>1</v>
      </c>
      <c r="L40" t="s">
        <v>235</v>
      </c>
      <c r="M40" t="s">
        <v>236</v>
      </c>
      <c r="N40" t="s">
        <v>237</v>
      </c>
      <c r="P40" s="24" t="s">
        <v>241</v>
      </c>
      <c r="Q40" s="24" t="str">
        <f>G18</f>
        <v>CLI4</v>
      </c>
      <c r="R40" s="24" t="str">
        <f>H18</f>
        <v>Radiance Calibration and Time-Reference Observatory</v>
      </c>
      <c r="S40" s="24"/>
      <c r="V40" s="23"/>
      <c r="X40" s="25">
        <f>SUM(X37:X39)</f>
        <v>1</v>
      </c>
      <c r="Z40" s="24" t="s">
        <v>243</v>
      </c>
      <c r="AA40" s="24" t="str">
        <f>G38</f>
        <v>WAT6</v>
      </c>
      <c r="AB40" s="24" t="str">
        <f>H38</f>
        <v>Groundwater storage, ice sheet mass balance and ocean mass</v>
      </c>
      <c r="AC40" s="24"/>
      <c r="AE40">
        <v>3</v>
      </c>
      <c r="AF40" s="23" t="str">
        <f>CONCATENATE($AF$36,"-",Table245364379[[#This Row],[Subobjective]])</f>
        <v>HEA3-3</v>
      </c>
      <c r="AG40" t="s">
        <v>178</v>
      </c>
      <c r="AH40" s="9">
        <f>1/4</f>
        <v>0.25</v>
      </c>
    </row>
    <row r="41" spans="6:39" customFormat="1" ht="15.75" thickBot="1" x14ac:dyDescent="0.3">
      <c r="H41" s="22"/>
      <c r="I41" s="9"/>
      <c r="J41" s="30"/>
      <c r="K41">
        <v>1</v>
      </c>
      <c r="L41" s="23" t="str">
        <f>CONCATENATE($L$39,"-",Table2456719[[#This Row],[Subobjective]])</f>
        <v>WEA5-1</v>
      </c>
      <c r="M41" t="s">
        <v>66</v>
      </c>
      <c r="N41" s="9">
        <v>1</v>
      </c>
      <c r="P41" t="s">
        <v>1</v>
      </c>
      <c r="Q41" t="s">
        <v>235</v>
      </c>
      <c r="R41" t="s">
        <v>236</v>
      </c>
      <c r="S41" t="s">
        <v>237</v>
      </c>
      <c r="Z41" t="s">
        <v>1</v>
      </c>
      <c r="AA41" t="s">
        <v>235</v>
      </c>
      <c r="AB41" t="s">
        <v>236</v>
      </c>
      <c r="AC41" t="s">
        <v>237</v>
      </c>
      <c r="AE41">
        <v>4</v>
      </c>
      <c r="AF41" s="23" t="str">
        <f>CONCATENATE($AF$36,"-",Table245364379[[#This Row],[Subobjective]])</f>
        <v>HEA3-4</v>
      </c>
      <c r="AG41" t="s">
        <v>179</v>
      </c>
      <c r="AH41" s="9">
        <f>1/4</f>
        <v>0.25</v>
      </c>
    </row>
    <row r="42" spans="6:39" customFormat="1" x14ac:dyDescent="0.25">
      <c r="F42" s="67" t="str">
        <f>CONCATENATE($A$7," panel")</f>
        <v>Health panel</v>
      </c>
      <c r="G42" s="68"/>
      <c r="H42" s="68"/>
      <c r="I42" s="69"/>
      <c r="J42" s="30"/>
      <c r="L42" s="23"/>
      <c r="N42" s="25">
        <f>SUM(N41:N41)</f>
        <v>1</v>
      </c>
      <c r="P42">
        <v>1</v>
      </c>
      <c r="Q42" s="23" t="str">
        <f>CONCATENATE($Q$40,"-",Table24562359[[#This Row],[Subobjective]])</f>
        <v>CLI4-1</v>
      </c>
      <c r="R42" t="s">
        <v>225</v>
      </c>
      <c r="S42" s="9">
        <f t="shared" ref="S42:S47" si="5">1/6</f>
        <v>0.16666666666666666</v>
      </c>
      <c r="Z42">
        <v>1</v>
      </c>
      <c r="AA42" s="23" t="str">
        <f>CONCATENATE($AA$40,"-",Table2456783975[[#This Row],[Subobjective]])</f>
        <v>WAT6-1</v>
      </c>
      <c r="AB42" t="s">
        <v>104</v>
      </c>
      <c r="AC42" s="9">
        <f>1/3</f>
        <v>0.33333333333333331</v>
      </c>
      <c r="AF42" s="23"/>
      <c r="AH42" s="25">
        <f>SUM(AH38:AH41)</f>
        <v>1</v>
      </c>
    </row>
    <row r="43" spans="6:39" customFormat="1" x14ac:dyDescent="0.25">
      <c r="F43" s="32" t="s">
        <v>0</v>
      </c>
      <c r="G43" s="33" t="s">
        <v>235</v>
      </c>
      <c r="H43" s="34" t="s">
        <v>236</v>
      </c>
      <c r="I43" s="35" t="s">
        <v>237</v>
      </c>
      <c r="J43" s="30"/>
      <c r="K43" s="29"/>
      <c r="L43" s="29"/>
      <c r="M43" s="29"/>
      <c r="N43" s="29"/>
      <c r="P43">
        <v>2</v>
      </c>
      <c r="Q43" s="23" t="str">
        <f>CONCATENATE($Q$40,"-",Table24562359[[#This Row],[Subobjective]])</f>
        <v>CLI4-2</v>
      </c>
      <c r="R43" t="s">
        <v>226</v>
      </c>
      <c r="S43" s="9">
        <f t="shared" si="5"/>
        <v>0.16666666666666666</v>
      </c>
      <c r="Z43">
        <v>2</v>
      </c>
      <c r="AA43" s="23" t="str">
        <f>CONCATENATE($AA$40,"-",Table2456783975[[#This Row],[Subobjective]])</f>
        <v>WAT6-2</v>
      </c>
      <c r="AB43" t="s">
        <v>106</v>
      </c>
      <c r="AC43" s="9">
        <f>1/3</f>
        <v>0.33333333333333331</v>
      </c>
    </row>
    <row r="44" spans="6:39" customFormat="1" x14ac:dyDescent="0.25">
      <c r="F44" s="32">
        <v>1</v>
      </c>
      <c r="G44" s="33" t="str">
        <f>CONCATENATE($B$7,Table114293167[[#This Row],[Objective]])</f>
        <v>HEA1</v>
      </c>
      <c r="H44" s="36" t="s">
        <v>148</v>
      </c>
      <c r="I44" s="35">
        <f t="shared" ref="I44:I49" si="6">1/6</f>
        <v>0.16666666666666666</v>
      </c>
      <c r="J44" s="30"/>
      <c r="K44" s="24" t="s">
        <v>243</v>
      </c>
      <c r="L44" s="24" t="str">
        <f>G9</f>
        <v>WEA6</v>
      </c>
      <c r="M44" s="24" t="str">
        <f>H9</f>
        <v>Comprehensive global tropospheric O3 measurements</v>
      </c>
      <c r="N44" s="24"/>
      <c r="P44">
        <v>3</v>
      </c>
      <c r="Q44" s="23" t="str">
        <f>CONCATENATE($Q$40,"-",Table24562359[[#This Row],[Subobjective]])</f>
        <v>CLI4-3</v>
      </c>
      <c r="R44" t="s">
        <v>227</v>
      </c>
      <c r="S44" s="9">
        <f t="shared" si="5"/>
        <v>0.16666666666666666</v>
      </c>
      <c r="Z44">
        <v>3</v>
      </c>
      <c r="AA44" s="23" t="str">
        <f>CONCATENATE($AA$40,"-",Table2456783975[[#This Row],[Subobjective]])</f>
        <v>WAT6-3</v>
      </c>
      <c r="AB44" t="s">
        <v>107</v>
      </c>
      <c r="AC44" s="9">
        <f>1/3</f>
        <v>0.33333333333333331</v>
      </c>
      <c r="AE44" s="24" t="s">
        <v>241</v>
      </c>
      <c r="AF44" s="24" t="str">
        <f>G47</f>
        <v>HEA4</v>
      </c>
      <c r="AG44" s="24" t="str">
        <f>H47</f>
        <v>Air Pollution and Respiratory and Cardiovascular Diseases</v>
      </c>
      <c r="AH44" s="24"/>
    </row>
    <row r="45" spans="6:39" customFormat="1" x14ac:dyDescent="0.25">
      <c r="F45" s="32">
        <v>2</v>
      </c>
      <c r="G45" s="33" t="str">
        <f>CONCATENATE($B$7,Table114293167[[#This Row],[Objective]])</f>
        <v>HEA2</v>
      </c>
      <c r="H45" s="34" t="s">
        <v>171</v>
      </c>
      <c r="I45" s="35">
        <f t="shared" si="6"/>
        <v>0.16666666666666666</v>
      </c>
      <c r="J45" s="30"/>
      <c r="K45" t="s">
        <v>1</v>
      </c>
      <c r="L45" t="s">
        <v>235</v>
      </c>
      <c r="M45" t="s">
        <v>236</v>
      </c>
      <c r="N45" t="s">
        <v>237</v>
      </c>
      <c r="P45">
        <v>4</v>
      </c>
      <c r="Q45" s="23" t="str">
        <f>CONCATENATE($Q$40,"-",Table24562359[[#This Row],[Subobjective]])</f>
        <v>CLI4-4</v>
      </c>
      <c r="R45" t="s">
        <v>228</v>
      </c>
      <c r="S45" s="9">
        <f t="shared" si="5"/>
        <v>0.16666666666666666</v>
      </c>
      <c r="AA45" s="23"/>
      <c r="AC45" s="25">
        <f>SUM(AC42:AC44)</f>
        <v>1</v>
      </c>
      <c r="AE45" t="s">
        <v>1</v>
      </c>
      <c r="AF45" t="s">
        <v>235</v>
      </c>
      <c r="AG45" t="s">
        <v>236</v>
      </c>
      <c r="AH45" t="s">
        <v>237</v>
      </c>
    </row>
    <row r="46" spans="6:39" customFormat="1" x14ac:dyDescent="0.25">
      <c r="F46" s="32">
        <v>3</v>
      </c>
      <c r="G46" s="33" t="str">
        <f>CONCATENATE($B$7,Table114293167[[#This Row],[Objective]])</f>
        <v>HEA3</v>
      </c>
      <c r="H46" s="34" t="s">
        <v>175</v>
      </c>
      <c r="I46" s="35">
        <f t="shared" si="6"/>
        <v>0.16666666666666666</v>
      </c>
      <c r="J46" s="30"/>
      <c r="K46">
        <v>1</v>
      </c>
      <c r="L46" s="23" t="str">
        <f>CONCATENATE($L$44,"-",Table24567852[[#This Row],[Subobjective]])</f>
        <v>WEA6-1</v>
      </c>
      <c r="M46" t="s">
        <v>261</v>
      </c>
      <c r="N46" s="9">
        <f>1/7</f>
        <v>0.14285714285714285</v>
      </c>
      <c r="P46">
        <v>5</v>
      </c>
      <c r="Q46" s="23" t="str">
        <f>CONCATENATE($Q$40,"-",Table24562359[[#This Row],[Subobjective]])</f>
        <v>CLI4-5</v>
      </c>
      <c r="R46" t="s">
        <v>229</v>
      </c>
      <c r="S46" s="9">
        <f t="shared" si="5"/>
        <v>0.16666666666666666</v>
      </c>
      <c r="AE46">
        <v>1</v>
      </c>
      <c r="AF46" s="23" t="str">
        <f>CONCATENATE($AF$44,"-",Table2456374480[[#This Row],[Subobjective]])</f>
        <v>HEA4-1</v>
      </c>
      <c r="AG46" t="s">
        <v>181</v>
      </c>
      <c r="AH46" s="9">
        <f>1/4*1/2*1/4</f>
        <v>3.125E-2</v>
      </c>
    </row>
    <row r="47" spans="6:39" customFormat="1" x14ac:dyDescent="0.25">
      <c r="F47" s="32">
        <v>4</v>
      </c>
      <c r="G47" s="33" t="str">
        <f>CONCATENATE($B$7,Table114293167[[#This Row],[Objective]])</f>
        <v>HEA4</v>
      </c>
      <c r="H47" s="34" t="s">
        <v>180</v>
      </c>
      <c r="I47" s="35">
        <f t="shared" si="6"/>
        <v>0.16666666666666666</v>
      </c>
      <c r="J47" s="30"/>
      <c r="K47">
        <v>2</v>
      </c>
      <c r="L47" s="23" t="str">
        <f>CONCATENATE($L$44,"-",Table24567852[[#This Row],[Subobjective]])</f>
        <v>WEA6-2</v>
      </c>
      <c r="M47" t="s">
        <v>262</v>
      </c>
      <c r="N47" s="9">
        <f t="shared" ref="N47:N52" si="7">1/7</f>
        <v>0.14285714285714285</v>
      </c>
      <c r="P47">
        <v>6</v>
      </c>
      <c r="Q47" s="23" t="str">
        <f>CONCATENATE($Q$40,"-",Table24562359[[#This Row],[Subobjective]])</f>
        <v>CLI4-6</v>
      </c>
      <c r="R47" t="s">
        <v>230</v>
      </c>
      <c r="S47" s="9">
        <f t="shared" si="5"/>
        <v>0.16666666666666666</v>
      </c>
      <c r="Z47" s="24" t="s">
        <v>244</v>
      </c>
      <c r="AA47" s="24" t="str">
        <f>G39</f>
        <v>WAT7</v>
      </c>
      <c r="AB47" s="24" t="str">
        <f>H39</f>
        <v>Inland and coastal water quality</v>
      </c>
      <c r="AC47" s="24"/>
      <c r="AE47">
        <v>2</v>
      </c>
      <c r="AF47" s="23" t="str">
        <f>CONCATENATE($AF$44,"-",Table2456374480[[#This Row],[Subobjective]])</f>
        <v>HEA4-2</v>
      </c>
      <c r="AG47" t="s">
        <v>182</v>
      </c>
      <c r="AH47" s="9">
        <f>1/4*1/2*1/4</f>
        <v>3.125E-2</v>
      </c>
    </row>
    <row r="48" spans="6:39" customFormat="1" x14ac:dyDescent="0.25">
      <c r="F48" s="32">
        <v>5</v>
      </c>
      <c r="G48" s="33" t="str">
        <f>CONCATENATE($B$7,Table114293167[[#This Row],[Objective]])</f>
        <v>HEA5</v>
      </c>
      <c r="H48" s="34" t="s">
        <v>199</v>
      </c>
      <c r="I48" s="35">
        <f t="shared" si="6"/>
        <v>0.16666666666666666</v>
      </c>
      <c r="J48" s="30"/>
      <c r="K48">
        <v>3</v>
      </c>
      <c r="L48" s="23" t="str">
        <f>CONCATENATE($L$44,"-",Table24567852[[#This Row],[Subobjective]])</f>
        <v>WEA6-3</v>
      </c>
      <c r="M48" t="s">
        <v>263</v>
      </c>
      <c r="N48" s="9">
        <f t="shared" si="7"/>
        <v>0.14285714285714285</v>
      </c>
      <c r="Q48" s="23"/>
      <c r="S48" s="25">
        <f>SUM(S42:S47)</f>
        <v>0.99999999999999989</v>
      </c>
      <c r="Z48" t="s">
        <v>1</v>
      </c>
      <c r="AA48" t="s">
        <v>235</v>
      </c>
      <c r="AB48" t="s">
        <v>236</v>
      </c>
      <c r="AC48" t="s">
        <v>237</v>
      </c>
      <c r="AE48">
        <v>3</v>
      </c>
      <c r="AF48" s="23" t="str">
        <f>CONCATENATE($AF$44,"-",Table2456374480[[#This Row],[Subobjective]])</f>
        <v>HEA4-3</v>
      </c>
      <c r="AG48" t="s">
        <v>183</v>
      </c>
      <c r="AH48" s="9">
        <f>1/4*1/4</f>
        <v>6.25E-2</v>
      </c>
    </row>
    <row r="49" spans="6:34" customFormat="1" x14ac:dyDescent="0.25">
      <c r="F49" s="32">
        <v>6</v>
      </c>
      <c r="G49" s="33" t="str">
        <f>CONCATENATE($B$7,Table114293167[[#This Row],[Objective]])</f>
        <v>HEA6</v>
      </c>
      <c r="H49" s="34" t="s">
        <v>203</v>
      </c>
      <c r="I49" s="35">
        <f t="shared" si="6"/>
        <v>0.16666666666666666</v>
      </c>
      <c r="J49" s="30"/>
      <c r="K49">
        <v>4</v>
      </c>
      <c r="L49" s="23" t="str">
        <f>CONCATENATE($L$44,"-",Table24567852[[#This Row],[Subobjective]])</f>
        <v>WEA6-4</v>
      </c>
      <c r="M49" t="s">
        <v>264</v>
      </c>
      <c r="N49" s="9">
        <f t="shared" si="7"/>
        <v>0.14285714285714285</v>
      </c>
      <c r="Z49">
        <v>1</v>
      </c>
      <c r="AA49" s="23" t="str">
        <f>CONCATENATE($AA$47,"-",Table2456794076[[#This Row],[Subobjective]])</f>
        <v>WAT7-1</v>
      </c>
      <c r="AB49" t="s">
        <v>108</v>
      </c>
      <c r="AC49" s="9">
        <f>1/4</f>
        <v>0.25</v>
      </c>
      <c r="AE49">
        <v>4</v>
      </c>
      <c r="AF49" s="23" t="str">
        <f>CONCATENATE($AF$44,"-",Table2456374480[[#This Row],[Subobjective]])</f>
        <v>HEA4-4</v>
      </c>
      <c r="AG49" t="s">
        <v>184</v>
      </c>
      <c r="AH49" s="9">
        <f>1/4*1/4*1/5</f>
        <v>1.2500000000000001E-2</v>
      </c>
    </row>
    <row r="50" spans="6:34" customFormat="1" ht="15.75" thickBot="1" x14ac:dyDescent="0.3">
      <c r="F50" s="37"/>
      <c r="G50" s="38"/>
      <c r="H50" s="39"/>
      <c r="I50" s="40">
        <f>SUM(I44:I49)</f>
        <v>0.99999999999999989</v>
      </c>
      <c r="J50" s="30"/>
      <c r="K50">
        <v>5</v>
      </c>
      <c r="L50" s="23" t="str">
        <f>CONCATENATE($L$44,"-",Table24567852[[#This Row],[Subobjective]])</f>
        <v>WEA6-5</v>
      </c>
      <c r="M50" t="s">
        <v>265</v>
      </c>
      <c r="N50" s="9">
        <f t="shared" si="7"/>
        <v>0.14285714285714285</v>
      </c>
      <c r="P50" s="24" t="s">
        <v>242</v>
      </c>
      <c r="Q50" s="24" t="str">
        <f>G19</f>
        <v>CLI5</v>
      </c>
      <c r="R50" s="24" t="str">
        <f>H19</f>
        <v>Ocean Circulation, Heat Storage, and Climate Forcing</v>
      </c>
      <c r="S50" s="24"/>
      <c r="Z50">
        <v>2</v>
      </c>
      <c r="AA50" s="23" t="str">
        <f>CONCATENATE($AA$47,"-",Table2456794076[[#This Row],[Subobjective]])</f>
        <v>WAT7-2</v>
      </c>
      <c r="AB50" t="s">
        <v>109</v>
      </c>
      <c r="AC50" s="9">
        <f>1/4</f>
        <v>0.25</v>
      </c>
      <c r="AE50">
        <v>5</v>
      </c>
      <c r="AF50" s="23" t="str">
        <f>CONCATENATE($AF$44,"-",Table2456374480[[#This Row],[Subobjective]])</f>
        <v>HEA4-5</v>
      </c>
      <c r="AG50" t="s">
        <v>185</v>
      </c>
      <c r="AH50" s="9">
        <f>1/4*1/4*1/5</f>
        <v>1.2500000000000001E-2</v>
      </c>
    </row>
    <row r="51" spans="6:34" customFormat="1" ht="15.75" thickBot="1" x14ac:dyDescent="0.3">
      <c r="H51" s="22"/>
      <c r="I51" s="9"/>
      <c r="J51" s="30"/>
      <c r="K51">
        <v>6</v>
      </c>
      <c r="L51" s="23" t="str">
        <f>CONCATENATE($L$44,"-",Table24567852[[#This Row],[Subobjective]])</f>
        <v>WEA6-6</v>
      </c>
      <c r="M51" t="s">
        <v>266</v>
      </c>
      <c r="N51" s="9">
        <f t="shared" si="7"/>
        <v>0.14285714285714285</v>
      </c>
      <c r="P51" t="s">
        <v>1</v>
      </c>
      <c r="Q51" t="s">
        <v>235</v>
      </c>
      <c r="R51" t="s">
        <v>236</v>
      </c>
      <c r="S51" t="s">
        <v>237</v>
      </c>
      <c r="Z51">
        <v>3</v>
      </c>
      <c r="AA51" s="23" t="str">
        <f>CONCATENATE($AA$47,"-",Table2456794076[[#This Row],[Subobjective]])</f>
        <v>WAT7-3</v>
      </c>
      <c r="AB51" t="s">
        <v>110</v>
      </c>
      <c r="AC51" s="9">
        <f>1/4</f>
        <v>0.25</v>
      </c>
      <c r="AE51">
        <v>6</v>
      </c>
      <c r="AF51" s="23" t="str">
        <f>CONCATENATE($AF$44,"-",Table2456374480[[#This Row],[Subobjective]])</f>
        <v>HEA4-6</v>
      </c>
      <c r="AG51" t="s">
        <v>186</v>
      </c>
      <c r="AH51" s="9">
        <f>1/4*1/4*1/5</f>
        <v>1.2500000000000001E-2</v>
      </c>
    </row>
    <row r="52" spans="6:34" customFormat="1" x14ac:dyDescent="0.25">
      <c r="F52" s="67" t="str">
        <f>CONCATENATE($A$8," panel")</f>
        <v>Solid Earth panel</v>
      </c>
      <c r="G52" s="68"/>
      <c r="H52" s="68"/>
      <c r="I52" s="69"/>
      <c r="J52" s="30"/>
      <c r="K52">
        <v>7</v>
      </c>
      <c r="L52" s="23" t="str">
        <f>CONCATENATE($L$44,"-",Table24567852[[#This Row],[Subobjective]])</f>
        <v>WEA6-7</v>
      </c>
      <c r="M52" t="s">
        <v>267</v>
      </c>
      <c r="N52" s="9">
        <f t="shared" si="7"/>
        <v>0.14285714285714285</v>
      </c>
      <c r="P52">
        <v>1</v>
      </c>
      <c r="Q52" s="23" t="str">
        <f>CONCATENATE($Q$50,"-",Table245672460[[#This Row],[Subobjective]])</f>
        <v>CLI5-1</v>
      </c>
      <c r="R52" t="s">
        <v>232</v>
      </c>
      <c r="S52" s="9">
        <f>1/4</f>
        <v>0.25</v>
      </c>
      <c r="Z52">
        <v>4</v>
      </c>
      <c r="AA52" s="23" t="str">
        <f>CONCATENATE($AA$47,"-",Table2456794076[[#This Row],[Subobjective]])</f>
        <v>WAT7-4</v>
      </c>
      <c r="AB52" t="s">
        <v>112</v>
      </c>
      <c r="AC52" s="9">
        <f>1/4</f>
        <v>0.25</v>
      </c>
      <c r="AE52">
        <v>7</v>
      </c>
      <c r="AF52" s="23" t="str">
        <f>CONCATENATE($AF$44,"-",Table2456374480[[#This Row],[Subobjective]])</f>
        <v>HEA4-7</v>
      </c>
      <c r="AG52" t="s">
        <v>187</v>
      </c>
      <c r="AH52" s="9">
        <f>1/4*1/4*1/5</f>
        <v>1.2500000000000001E-2</v>
      </c>
    </row>
    <row r="53" spans="6:34" customFormat="1" x14ac:dyDescent="0.25">
      <c r="F53" s="32" t="s">
        <v>0</v>
      </c>
      <c r="G53" s="33" t="s">
        <v>235</v>
      </c>
      <c r="H53" s="34" t="s">
        <v>236</v>
      </c>
      <c r="I53" s="35" t="s">
        <v>237</v>
      </c>
      <c r="J53" s="30"/>
      <c r="L53" s="23"/>
      <c r="N53" s="25">
        <f>SUM(N46:N52)</f>
        <v>0.99999999999999978</v>
      </c>
      <c r="P53">
        <v>2</v>
      </c>
      <c r="Q53" s="23" t="str">
        <f>CONCATENATE($Q$50,"-",Table245672460[[#This Row],[Subobjective]])</f>
        <v>CLI5-2</v>
      </c>
      <c r="R53" t="s">
        <v>233</v>
      </c>
      <c r="S53" s="9">
        <f>1/4</f>
        <v>0.25</v>
      </c>
      <c r="AA53" s="23"/>
      <c r="AC53" s="25">
        <f>SUM(AC49:AC52)</f>
        <v>1</v>
      </c>
      <c r="AE53">
        <v>8</v>
      </c>
      <c r="AF53" s="23" t="str">
        <f>CONCATENATE($AF$44,"-",Table2456374480[[#This Row],[Subobjective]])</f>
        <v>HEA4-8</v>
      </c>
      <c r="AG53" t="s">
        <v>188</v>
      </c>
      <c r="AH53" s="9">
        <f>1/4*1/4*1/5</f>
        <v>1.2500000000000001E-2</v>
      </c>
    </row>
    <row r="54" spans="6:34" customFormat="1" x14ac:dyDescent="0.25">
      <c r="F54" s="32">
        <v>1</v>
      </c>
      <c r="G54" s="33" t="str">
        <f>CONCATENATE($B$8,Table114293268[[#This Row],[Objective]])</f>
        <v>SOL1</v>
      </c>
      <c r="H54" s="36" t="s">
        <v>138</v>
      </c>
      <c r="I54" s="35">
        <v>0.28599999999999998</v>
      </c>
      <c r="J54" s="30"/>
      <c r="K54" s="29"/>
      <c r="L54" s="29"/>
      <c r="M54" s="29"/>
      <c r="N54" s="29"/>
      <c r="P54">
        <v>3</v>
      </c>
      <c r="Q54" s="23" t="str">
        <f>CONCATENATE($Q$50,"-",Table245672460[[#This Row],[Subobjective]])</f>
        <v>CLI5-3</v>
      </c>
      <c r="R54" t="s">
        <v>234</v>
      </c>
      <c r="S54" s="9">
        <f>1/4</f>
        <v>0.25</v>
      </c>
      <c r="AE54">
        <v>9</v>
      </c>
      <c r="AF54" s="23" t="str">
        <f>CONCATENATE($AF$44,"-",Table2456374480[[#This Row],[Subobjective]])</f>
        <v>HEA4-9</v>
      </c>
      <c r="AG54" t="s">
        <v>189</v>
      </c>
      <c r="AH54" s="9">
        <f>1/4*1/4</f>
        <v>6.25E-2</v>
      </c>
    </row>
    <row r="55" spans="6:34" customFormat="1" x14ac:dyDescent="0.25">
      <c r="F55" s="32">
        <v>2</v>
      </c>
      <c r="G55" s="33" t="str">
        <f>CONCATENATE($B$8,Table114293268[[#This Row],[Objective]])</f>
        <v>SOL2</v>
      </c>
      <c r="H55" s="34" t="s">
        <v>141</v>
      </c>
      <c r="I55" s="35">
        <v>0.23799999999999999</v>
      </c>
      <c r="J55" s="30"/>
      <c r="K55" s="24" t="s">
        <v>244</v>
      </c>
      <c r="L55" s="24" t="str">
        <f>G10</f>
        <v>WEA7</v>
      </c>
      <c r="M55" s="24" t="str">
        <f>H10</f>
        <v>Aerosol-cloud discovery</v>
      </c>
      <c r="N55" s="24"/>
      <c r="P55">
        <v>4</v>
      </c>
      <c r="Q55" s="23" t="str">
        <f>CONCATENATE($Q$50,"-",Table245672460[[#This Row],[Subobjective]])</f>
        <v>CLI5-4</v>
      </c>
      <c r="R55" t="s">
        <v>47</v>
      </c>
      <c r="S55" s="9">
        <f>1/4</f>
        <v>0.25</v>
      </c>
      <c r="AE55">
        <v>10</v>
      </c>
      <c r="AF55" s="23" t="str">
        <f>CONCATENATE($AF$44,"-",Table2456374480[[#This Row],[Subobjective]])</f>
        <v>HEA4-10</v>
      </c>
      <c r="AG55" t="s">
        <v>190</v>
      </c>
      <c r="AH55" s="27">
        <f>3/4*1/2*1/4</f>
        <v>9.375E-2</v>
      </c>
    </row>
    <row r="56" spans="6:34" customFormat="1" x14ac:dyDescent="0.25">
      <c r="F56" s="32">
        <v>3</v>
      </c>
      <c r="G56" s="33" t="str">
        <f>CONCATENATE($B$8,Table114293268[[#This Row],[Objective]])</f>
        <v>SOL3</v>
      </c>
      <c r="H56" s="34" t="s">
        <v>143</v>
      </c>
      <c r="I56" s="35">
        <v>0.19</v>
      </c>
      <c r="J56" s="30"/>
      <c r="K56" t="s">
        <v>1</v>
      </c>
      <c r="L56" t="s">
        <v>235</v>
      </c>
      <c r="M56" t="s">
        <v>236</v>
      </c>
      <c r="N56" t="s">
        <v>237</v>
      </c>
      <c r="Q56" s="23"/>
      <c r="S56" s="25">
        <f>SUM(S52:S55)</f>
        <v>1</v>
      </c>
      <c r="AE56">
        <v>11</v>
      </c>
      <c r="AF56" s="23" t="str">
        <f>CONCATENATE($AF$44,"-",Table2456374480[[#This Row],[Subobjective]])</f>
        <v>HEA4-11</v>
      </c>
      <c r="AG56" t="s">
        <v>191</v>
      </c>
      <c r="AH56" s="27">
        <f>3/4*1/2*1/4</f>
        <v>9.375E-2</v>
      </c>
    </row>
    <row r="57" spans="6:34" customFormat="1" x14ac:dyDescent="0.25">
      <c r="F57" s="32">
        <v>4</v>
      </c>
      <c r="G57" s="33" t="str">
        <f>CONCATENATE($B$8,Table114293268[[#This Row],[Objective]])</f>
        <v>SOL4</v>
      </c>
      <c r="H57" s="34" t="s">
        <v>145</v>
      </c>
      <c r="I57" s="35">
        <v>0.14299999999999999</v>
      </c>
      <c r="J57" s="30"/>
      <c r="K57">
        <v>1</v>
      </c>
      <c r="L57" s="23" t="str">
        <f>CONCATENATE($L$55,"-",Table24567953[[#This Row],[Subobjective]])</f>
        <v>WEA7-1</v>
      </c>
      <c r="M57" t="s">
        <v>68</v>
      </c>
      <c r="N57" s="9">
        <f>1/12</f>
        <v>8.3333333333333329E-2</v>
      </c>
      <c r="AE57">
        <v>12</v>
      </c>
      <c r="AF57" s="23" t="str">
        <f>CONCATENATE($AF$44,"-",Table2456374480[[#This Row],[Subobjective]])</f>
        <v>HEA4-12</v>
      </c>
      <c r="AG57" t="s">
        <v>192</v>
      </c>
      <c r="AH57" s="27">
        <f>3/4*1/4</f>
        <v>0.1875</v>
      </c>
    </row>
    <row r="58" spans="6:34" customFormat="1" x14ac:dyDescent="0.25">
      <c r="F58" s="32">
        <v>5</v>
      </c>
      <c r="G58" s="33" t="str">
        <f>CONCATENATE($B$8,Table114293268[[#This Row],[Objective]])</f>
        <v>SOL5</v>
      </c>
      <c r="H58" s="34" t="s">
        <v>147</v>
      </c>
      <c r="I58" s="35">
        <v>0.14299999999999999</v>
      </c>
      <c r="J58" s="30"/>
      <c r="K58">
        <v>2</v>
      </c>
      <c r="L58" s="23" t="str">
        <f>CONCATENATE($L$55,"-",Table24567953[[#This Row],[Subobjective]])</f>
        <v>WEA7-2</v>
      </c>
      <c r="M58" t="s">
        <v>69</v>
      </c>
      <c r="N58" s="9">
        <f t="shared" ref="N58:N68" si="8">1/12</f>
        <v>8.3333333333333329E-2</v>
      </c>
      <c r="AE58">
        <v>13</v>
      </c>
      <c r="AF58" s="23" t="str">
        <f>CONCATENATE($AF$44,"-",Table2456374480[[#This Row],[Subobjective]])</f>
        <v>HEA4-13</v>
      </c>
      <c r="AG58" t="s">
        <v>193</v>
      </c>
      <c r="AH58" s="27">
        <f>3/4*1/4*1/5</f>
        <v>3.7499999999999999E-2</v>
      </c>
    </row>
    <row r="59" spans="6:34" customFormat="1" ht="15.75" thickBot="1" x14ac:dyDescent="0.3">
      <c r="F59" s="37"/>
      <c r="G59" s="38"/>
      <c r="H59" s="39"/>
      <c r="I59" s="40">
        <f>SUM(I54:I58)</f>
        <v>1</v>
      </c>
      <c r="J59" s="30"/>
      <c r="K59">
        <v>3</v>
      </c>
      <c r="L59" s="23" t="str">
        <f>CONCATENATE($L$55,"-",Table24567953[[#This Row],[Subobjective]])</f>
        <v>WEA7-3</v>
      </c>
      <c r="M59" t="s">
        <v>70</v>
      </c>
      <c r="N59" s="9">
        <f t="shared" si="8"/>
        <v>8.3333333333333329E-2</v>
      </c>
      <c r="AE59">
        <v>14</v>
      </c>
      <c r="AF59" s="23" t="str">
        <f>CONCATENATE($AF$44,"-",Table2456374480[[#This Row],[Subobjective]])</f>
        <v>HEA4-14</v>
      </c>
      <c r="AG59" t="s">
        <v>194</v>
      </c>
      <c r="AH59" s="27">
        <f>3/4*1/4*1/5</f>
        <v>3.7499999999999999E-2</v>
      </c>
    </row>
    <row r="60" spans="6:34" customFormat="1" x14ac:dyDescent="0.25">
      <c r="F60" s="29"/>
      <c r="G60" s="29"/>
      <c r="H60" s="29"/>
      <c r="I60" s="30"/>
      <c r="J60" s="30"/>
      <c r="K60">
        <v>4</v>
      </c>
      <c r="L60" s="23" t="str">
        <f>CONCATENATE($L$55,"-",Table24567953[[#This Row],[Subobjective]])</f>
        <v>WEA7-4</v>
      </c>
      <c r="M60" t="s">
        <v>71</v>
      </c>
      <c r="N60" s="9">
        <f t="shared" si="8"/>
        <v>8.3333333333333329E-2</v>
      </c>
      <c r="AE60">
        <v>15</v>
      </c>
      <c r="AF60" s="23" t="str">
        <f>CONCATENATE($AF$44,"-",Table2456374480[[#This Row],[Subobjective]])</f>
        <v>HEA4-15</v>
      </c>
      <c r="AG60" t="s">
        <v>195</v>
      </c>
      <c r="AH60" s="27">
        <f>3/4*1/4*1/5</f>
        <v>3.7499999999999999E-2</v>
      </c>
    </row>
    <row r="61" spans="6:34" customFormat="1" x14ac:dyDescent="0.25">
      <c r="F61" s="29"/>
      <c r="G61" s="29"/>
      <c r="H61" s="29"/>
      <c r="I61" s="30"/>
      <c r="J61" s="30"/>
      <c r="K61">
        <v>5</v>
      </c>
      <c r="L61" s="23" t="str">
        <f>CONCATENATE($L$55,"-",Table24567953[[#This Row],[Subobjective]])</f>
        <v>WEA7-5</v>
      </c>
      <c r="M61" t="s">
        <v>72</v>
      </c>
      <c r="N61" s="9">
        <f t="shared" si="8"/>
        <v>8.3333333333333329E-2</v>
      </c>
      <c r="AE61">
        <v>16</v>
      </c>
      <c r="AF61" s="23" t="str">
        <f>CONCATENATE($AF$44,"-",Table2456374480[[#This Row],[Subobjective]])</f>
        <v>HEA4-16</v>
      </c>
      <c r="AG61" t="s">
        <v>196</v>
      </c>
      <c r="AH61" s="27">
        <f>3/4*1/4*1/5</f>
        <v>3.7499999999999999E-2</v>
      </c>
    </row>
    <row r="62" spans="6:34" customFormat="1" x14ac:dyDescent="0.25">
      <c r="F62" s="29"/>
      <c r="G62" s="29"/>
      <c r="H62" s="29"/>
      <c r="I62" s="30"/>
      <c r="J62" s="30"/>
      <c r="K62">
        <v>6</v>
      </c>
      <c r="L62" s="23" t="str">
        <f>CONCATENATE($L$55,"-",Table24567953[[#This Row],[Subobjective]])</f>
        <v>WEA7-6</v>
      </c>
      <c r="M62" t="s">
        <v>73</v>
      </c>
      <c r="N62" s="9">
        <f t="shared" si="8"/>
        <v>8.3333333333333329E-2</v>
      </c>
      <c r="AE62">
        <v>17</v>
      </c>
      <c r="AF62" s="23" t="str">
        <f>CONCATENATE($AF$44,"-",Table2456374480[[#This Row],[Subobjective]])</f>
        <v>HEA4-17</v>
      </c>
      <c r="AG62" t="s">
        <v>197</v>
      </c>
      <c r="AH62" s="27">
        <f>3/4*1/4*1/5</f>
        <v>3.7499999999999999E-2</v>
      </c>
    </row>
    <row r="63" spans="6:34" customFormat="1" x14ac:dyDescent="0.25">
      <c r="F63" s="29"/>
      <c r="G63" s="29"/>
      <c r="H63" s="29"/>
      <c r="I63" s="30"/>
      <c r="J63" s="30"/>
      <c r="K63">
        <v>7</v>
      </c>
      <c r="L63" s="23" t="str">
        <f>CONCATENATE($L$55,"-",Table24567953[[#This Row],[Subobjective]])</f>
        <v>WEA7-7</v>
      </c>
      <c r="M63" t="s">
        <v>213</v>
      </c>
      <c r="N63" s="9">
        <f t="shared" si="8"/>
        <v>8.3333333333333329E-2</v>
      </c>
      <c r="AE63">
        <v>18</v>
      </c>
      <c r="AF63" s="23" t="str">
        <f>CONCATENATE($AF$44,"-",Table2456374480[[#This Row],[Subobjective]])</f>
        <v>HEA4-18</v>
      </c>
      <c r="AG63" t="s">
        <v>198</v>
      </c>
      <c r="AH63" s="27">
        <f>3/4*1/4</f>
        <v>0.1875</v>
      </c>
    </row>
    <row r="64" spans="6:34" customFormat="1" x14ac:dyDescent="0.25">
      <c r="F64" s="29"/>
      <c r="G64" s="29"/>
      <c r="H64" s="29"/>
      <c r="I64" s="30"/>
      <c r="J64" s="30"/>
      <c r="K64">
        <v>8</v>
      </c>
      <c r="L64" s="23" t="str">
        <f>CONCATENATE($L$55,"-",Table24567953[[#This Row],[Subobjective]])</f>
        <v>WEA7-8</v>
      </c>
      <c r="M64" t="s">
        <v>74</v>
      </c>
      <c r="N64" s="9">
        <f t="shared" si="8"/>
        <v>8.3333333333333329E-2</v>
      </c>
      <c r="AF64" s="23"/>
      <c r="AH64" s="25">
        <f>SUM(AH46:AH63)</f>
        <v>0.99999999999999989</v>
      </c>
    </row>
    <row r="65" spans="9:34" customFormat="1" x14ac:dyDescent="0.25">
      <c r="I65" s="30"/>
      <c r="J65" s="30"/>
      <c r="K65">
        <v>9</v>
      </c>
      <c r="L65" s="23" t="str">
        <f>CONCATENATE($L$55,"-",Table24567953[[#This Row],[Subobjective]])</f>
        <v>WEA7-9</v>
      </c>
      <c r="M65" t="s">
        <v>75</v>
      </c>
      <c r="N65" s="9">
        <f t="shared" si="8"/>
        <v>8.3333333333333329E-2</v>
      </c>
    </row>
    <row r="66" spans="9:34" customFormat="1" x14ac:dyDescent="0.25">
      <c r="I66" s="30"/>
      <c r="J66" s="30"/>
      <c r="K66">
        <v>10</v>
      </c>
      <c r="L66" s="23" t="str">
        <f>CONCATENATE($L$55,"-",Table24567953[[#This Row],[Subobjective]])</f>
        <v>WEA7-10</v>
      </c>
      <c r="M66" t="s">
        <v>76</v>
      </c>
      <c r="N66" s="9">
        <f t="shared" si="8"/>
        <v>8.3333333333333329E-2</v>
      </c>
      <c r="AE66" s="24" t="s">
        <v>242</v>
      </c>
      <c r="AF66" s="24" t="str">
        <f>G48</f>
        <v>HEA5</v>
      </c>
      <c r="AG66" s="24" t="str">
        <f>H48</f>
        <v>Algal Blooms and Waterborne Infectious Diseases</v>
      </c>
      <c r="AH66" s="24"/>
    </row>
    <row r="67" spans="9:34" customFormat="1" x14ac:dyDescent="0.25">
      <c r="I67" s="30"/>
      <c r="J67" s="30"/>
      <c r="K67">
        <v>11</v>
      </c>
      <c r="L67" s="23" t="str">
        <f>CONCATENATE($L$55,"-",Table24567953[[#This Row],[Subobjective]])</f>
        <v>WEA7-11</v>
      </c>
      <c r="M67" t="s">
        <v>77</v>
      </c>
      <c r="N67" s="9">
        <f t="shared" si="8"/>
        <v>8.3333333333333329E-2</v>
      </c>
      <c r="AE67" t="s">
        <v>1</v>
      </c>
      <c r="AF67" t="s">
        <v>235</v>
      </c>
      <c r="AG67" t="s">
        <v>236</v>
      </c>
      <c r="AH67" t="s">
        <v>237</v>
      </c>
    </row>
    <row r="68" spans="9:34" customFormat="1" x14ac:dyDescent="0.25">
      <c r="I68" s="30"/>
      <c r="J68" s="30"/>
      <c r="K68">
        <v>12</v>
      </c>
      <c r="L68" s="23" t="str">
        <f>CONCATENATE($L$55,"-",Table24567953[[#This Row],[Subobjective]])</f>
        <v>WEA7-12</v>
      </c>
      <c r="M68" t="s">
        <v>78</v>
      </c>
      <c r="N68" s="9">
        <f t="shared" si="8"/>
        <v>8.3333333333333329E-2</v>
      </c>
      <c r="AE68">
        <v>1</v>
      </c>
      <c r="AF68" s="23" t="str">
        <f>CONCATENATE($AF$66,"-",Table24567384581[[#This Row],[Subobjective]])</f>
        <v>HEA5-1</v>
      </c>
      <c r="AG68" t="s">
        <v>200</v>
      </c>
      <c r="AH68" s="9">
        <f>1/4</f>
        <v>0.25</v>
      </c>
    </row>
    <row r="69" spans="9:34" customFormat="1" x14ac:dyDescent="0.25">
      <c r="I69" s="30"/>
      <c r="J69" s="30"/>
      <c r="L69" s="23"/>
      <c r="N69" s="25">
        <f>SUM(N57:N68)</f>
        <v>1</v>
      </c>
      <c r="AE69">
        <v>2</v>
      </c>
      <c r="AF69" s="23" t="str">
        <f>CONCATENATE($AF$66,"-",Table24567384581[[#This Row],[Subobjective]])</f>
        <v>HEA5-2</v>
      </c>
      <c r="AG69" t="s">
        <v>201</v>
      </c>
      <c r="AH69" s="9">
        <f>1/4</f>
        <v>0.25</v>
      </c>
    </row>
    <row r="70" spans="9:34" customFormat="1" x14ac:dyDescent="0.25">
      <c r="I70" s="30"/>
      <c r="J70" s="30"/>
      <c r="AE70">
        <v>3</v>
      </c>
      <c r="AF70" s="23" t="str">
        <f>CONCATENATE($AF$66,"-",Table24567384581[[#This Row],[Subobjective]])</f>
        <v>HEA5-3</v>
      </c>
      <c r="AG70" t="s">
        <v>202</v>
      </c>
      <c r="AH70" s="9">
        <f>1/3</f>
        <v>0.33333333333333331</v>
      </c>
    </row>
    <row r="71" spans="9:34" customFormat="1" x14ac:dyDescent="0.25">
      <c r="I71" s="30"/>
      <c r="J71" s="30"/>
      <c r="AE71">
        <v>4</v>
      </c>
      <c r="AF71" s="23" t="str">
        <f>CONCATENATE($AF$66,"-",Table24567384581[[#This Row],[Subobjective]])</f>
        <v>HEA5-4</v>
      </c>
      <c r="AG71" t="s">
        <v>270</v>
      </c>
      <c r="AH71" s="9">
        <f>1/6</f>
        <v>0.16666666666666666</v>
      </c>
    </row>
    <row r="72" spans="9:34" customFormat="1" x14ac:dyDescent="0.25">
      <c r="I72" s="30"/>
      <c r="J72" s="30"/>
      <c r="U72">
        <v>1</v>
      </c>
      <c r="AF72" s="23"/>
      <c r="AH72" s="25">
        <f>SUM(AH68:AH71)</f>
        <v>0.99999999999999989</v>
      </c>
    </row>
    <row r="73" spans="9:34" customFormat="1" x14ac:dyDescent="0.25">
      <c r="I73" s="30"/>
      <c r="J73" s="30"/>
    </row>
    <row r="74" spans="9:34" customFormat="1" x14ac:dyDescent="0.25">
      <c r="I74" s="30"/>
      <c r="J74" s="30"/>
      <c r="AE74" s="24" t="s">
        <v>243</v>
      </c>
      <c r="AF74" s="24" t="str">
        <f>G49</f>
        <v>HEA6</v>
      </c>
      <c r="AG74" s="24" t="str">
        <f>H49</f>
        <v>Vector-borne and Zoonotic Disease</v>
      </c>
      <c r="AH74" s="24"/>
    </row>
    <row r="75" spans="9:34" customFormat="1" x14ac:dyDescent="0.25">
      <c r="I75" s="30"/>
      <c r="J75" s="30"/>
      <c r="AE75" t="s">
        <v>1</v>
      </c>
      <c r="AF75" t="s">
        <v>235</v>
      </c>
      <c r="AG75" t="s">
        <v>236</v>
      </c>
      <c r="AH75" t="s">
        <v>237</v>
      </c>
    </row>
    <row r="76" spans="9:34" customFormat="1" x14ac:dyDescent="0.25">
      <c r="I76" s="30"/>
      <c r="J76" s="30"/>
      <c r="AE76">
        <v>1</v>
      </c>
      <c r="AF76" s="23" t="str">
        <f>CONCATENATE($AF$74,"-",Table245678394682[[#This Row],[Subobjective]])</f>
        <v>HEA6-1</v>
      </c>
      <c r="AG76" t="s">
        <v>204</v>
      </c>
      <c r="AH76" s="9">
        <f>2/3*1/3</f>
        <v>0.22222222222222221</v>
      </c>
    </row>
    <row r="77" spans="9:34" customFormat="1" x14ac:dyDescent="0.25">
      <c r="I77" s="30"/>
      <c r="J77" s="30"/>
      <c r="AE77">
        <v>2</v>
      </c>
      <c r="AF77" s="23" t="str">
        <f>CONCATENATE($AF$74,"-",Table245678394682[[#This Row],[Subobjective]])</f>
        <v>HEA6-2</v>
      </c>
      <c r="AG77" t="s">
        <v>205</v>
      </c>
      <c r="AH77" s="9">
        <f>2/3*1/3</f>
        <v>0.22222222222222221</v>
      </c>
    </row>
    <row r="78" spans="9:34" customFormat="1" x14ac:dyDescent="0.25">
      <c r="I78" s="30"/>
      <c r="J78" s="30"/>
      <c r="AE78">
        <v>3</v>
      </c>
      <c r="AF78" s="23" t="str">
        <f>CONCATENATE($AF$74,"-",Table245678394682[[#This Row],[Subobjective]])</f>
        <v>HEA6-3</v>
      </c>
      <c r="AG78" t="s">
        <v>204</v>
      </c>
      <c r="AH78" s="9">
        <f>2/3*1/3</f>
        <v>0.22222222222222221</v>
      </c>
    </row>
    <row r="79" spans="9:34" customFormat="1" x14ac:dyDescent="0.25">
      <c r="I79" s="29"/>
      <c r="J79" s="30"/>
      <c r="AE79">
        <v>4</v>
      </c>
      <c r="AF79" s="23" t="str">
        <f>CONCATENATE($AF$74,"-",Table245678394682[[#This Row],[Subobjective]])</f>
        <v>HEA6-4</v>
      </c>
      <c r="AG79" t="s">
        <v>206</v>
      </c>
      <c r="AH79" s="27">
        <f>1/3*1/3</f>
        <v>0.1111111111111111</v>
      </c>
    </row>
    <row r="80" spans="9:34" customFormat="1" x14ac:dyDescent="0.25">
      <c r="I80" s="29"/>
      <c r="J80" s="30"/>
      <c r="AE80">
        <v>5</v>
      </c>
      <c r="AF80" s="23" t="str">
        <f>CONCATENATE($AF$74,"-",Table245678394682[[#This Row],[Subobjective]])</f>
        <v>HEA6-5</v>
      </c>
      <c r="AG80" t="s">
        <v>207</v>
      </c>
      <c r="AH80" s="27">
        <f>1/3*1/3</f>
        <v>0.1111111111111111</v>
      </c>
    </row>
    <row r="81" spans="31:42" customFormat="1" x14ac:dyDescent="0.25">
      <c r="AE81">
        <v>6</v>
      </c>
      <c r="AF81" s="23" t="str">
        <f>CONCATENATE($AF$74,"-",Table245678394682[[#This Row],[Subobjective]])</f>
        <v>HEA6-6</v>
      </c>
      <c r="AG81" t="s">
        <v>208</v>
      </c>
      <c r="AH81" s="27">
        <f>1/3*1/3</f>
        <v>0.1111111111111111</v>
      </c>
    </row>
    <row r="82" spans="31:42" customFormat="1" x14ac:dyDescent="0.25">
      <c r="AF82" s="23"/>
      <c r="AH82" s="25">
        <f>SUM(AH76:AH81)</f>
        <v>1</v>
      </c>
    </row>
    <row r="83" spans="31:42" customFormat="1" x14ac:dyDescent="0.25">
      <c r="AP83">
        <v>1</v>
      </c>
    </row>
  </sheetData>
  <mergeCells count="15">
    <mergeCell ref="F31:I31"/>
    <mergeCell ref="F42:I42"/>
    <mergeCell ref="F52:I52"/>
    <mergeCell ref="U2:X2"/>
    <mergeCell ref="Z2:AC2"/>
    <mergeCell ref="AE2:AH2"/>
    <mergeCell ref="AJ2:AM2"/>
    <mergeCell ref="F13:I13"/>
    <mergeCell ref="F22:I22"/>
    <mergeCell ref="A1:D1"/>
    <mergeCell ref="F1:I1"/>
    <mergeCell ref="K1:N1"/>
    <mergeCell ref="F2:I2"/>
    <mergeCell ref="K2:N2"/>
    <mergeCell ref="P2:S2"/>
  </mergeCells>
  <pageMargins left="0.7" right="0.7" top="0.75" bottom="0.75" header="0.3" footer="0.3"/>
  <tableParts count="4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Aggregation rules</vt:lpstr>
      <vt:lpstr>Requirement rules</vt:lpstr>
      <vt:lpstr>Data continuity</vt:lpstr>
      <vt:lpstr>Decadal panel members</vt:lpstr>
      <vt:lpstr>Images</vt:lpstr>
      <vt:lpstr>Images2</vt:lpstr>
      <vt:lpstr>Sheet1</vt:lpstr>
      <vt:lpstr>continuity</vt:lpstr>
      <vt:lpstr>importance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2011-05-17T18:01:37Z</dcterms:created>
  <dcterms:modified xsi:type="dcterms:W3CDTF">2012-09-28T13:11:25Z</dcterms:modified>
</cp:coreProperties>
</file>