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d\Desktop\Finance\Investment Club\"/>
    </mc:Choice>
  </mc:AlternateContent>
  <bookViews>
    <workbookView xWindow="0" yWindow="0" windowWidth="28800" windowHeight="11910" activeTab="4"/>
  </bookViews>
  <sheets>
    <sheet name="Common Data" sheetId="3" r:id="rId1"/>
    <sheet name="PS Valuation" sheetId="1" r:id="rId2"/>
    <sheet name="PE Valuation" sheetId="2" r:id="rId3"/>
    <sheet name="DDM" sheetId="4" r:id="rId4"/>
    <sheet name="DCF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5" l="1" a="1"/>
  <c r="B12" i="5" s="1"/>
  <c r="B21" i="5" a="1"/>
  <c r="B20" i="5" a="1"/>
  <c r="B19" i="5" a="1"/>
  <c r="B18" i="5" a="1"/>
  <c r="F16" i="5"/>
  <c r="I10" i="5"/>
  <c r="B3" i="5" a="1"/>
  <c r="B3" i="5" s="1"/>
  <c r="B18" i="5" l="1"/>
  <c r="B19" i="5" s="1"/>
  <c r="I3" i="5"/>
  <c r="E3" i="5"/>
  <c r="H3" i="5"/>
  <c r="D3" i="5"/>
  <c r="G3" i="5"/>
  <c r="B5" i="5" s="1"/>
  <c r="C3" i="5"/>
  <c r="J3" i="5"/>
  <c r="F3" i="5"/>
  <c r="F19" i="2" a="1"/>
  <c r="F19" i="2" s="1"/>
  <c r="B6" i="5" l="1"/>
  <c r="H19" i="2"/>
  <c r="G19" i="2"/>
  <c r="F24" i="1" a="1"/>
  <c r="F24" i="1" s="1"/>
  <c r="B24" i="1" a="1"/>
  <c r="B24" i="1" s="1"/>
  <c r="H24" i="1" a="1"/>
  <c r="H24" i="1" s="1"/>
  <c r="D24" i="1" a="1"/>
  <c r="D24" i="1" s="1"/>
  <c r="F25" i="2" a="1"/>
  <c r="B25" i="2" a="1"/>
  <c r="B25" i="2" s="1"/>
  <c r="H25" i="2" a="1"/>
  <c r="H25" i="2" s="1"/>
  <c r="D25" i="2" a="1"/>
  <c r="D25" i="2" s="1"/>
  <c r="F24" i="2" a="1"/>
  <c r="F23" i="2" a="1"/>
  <c r="F22" i="2" a="1"/>
  <c r="F22" i="2" s="1"/>
  <c r="H21" i="2"/>
  <c r="H20" i="2"/>
  <c r="D15" i="2" a="1"/>
  <c r="D15" i="2" s="1"/>
  <c r="D14" i="2" a="1"/>
  <c r="D14" i="2" s="1"/>
  <c r="D10" i="2" a="1"/>
  <c r="D10" i="2" s="1"/>
  <c r="D11" i="2" a="1"/>
  <c r="D11" i="2" s="1"/>
  <c r="B23" i="2" a="1"/>
  <c r="B23" i="2" s="1"/>
  <c r="D20" i="2"/>
  <c r="B21" i="2" a="1"/>
  <c r="B21" i="2" s="1"/>
  <c r="B24" i="3"/>
  <c r="C24" i="3"/>
  <c r="D24" i="3"/>
  <c r="B19" i="2" a="1"/>
  <c r="B19" i="2" s="1"/>
  <c r="B17" i="2"/>
  <c r="B15" i="2" a="1"/>
  <c r="B15" i="2"/>
  <c r="B14" i="2" a="1"/>
  <c r="B14" i="2" s="1"/>
  <c r="B13" i="2" a="1"/>
  <c r="B13" i="2" s="1"/>
  <c r="B11" i="2" a="1"/>
  <c r="B11" i="2" s="1"/>
  <c r="B10" i="2" a="1"/>
  <c r="B10" i="2" s="1"/>
  <c r="B9" i="2" a="1"/>
  <c r="B9" i="2" s="1"/>
  <c r="B7" i="2" a="1"/>
  <c r="B7" i="2" s="1"/>
  <c r="B6" i="2" a="1"/>
  <c r="B6" i="2" s="1"/>
  <c r="B5" i="2" a="1"/>
  <c r="B5" i="2" s="1"/>
  <c r="B3" i="2" a="1"/>
  <c r="B3" i="2" s="1"/>
  <c r="B21" i="3" a="1"/>
  <c r="B21" i="3" s="1"/>
  <c r="B20" i="3"/>
  <c r="B16" i="1"/>
  <c r="D14" i="1" a="1"/>
  <c r="D14" i="1" s="1"/>
  <c r="B14" i="1"/>
  <c r="D13" i="1" a="1"/>
  <c r="B12" i="1" a="1"/>
  <c r="B12" i="1" s="1"/>
  <c r="D10" i="1" a="1"/>
  <c r="D9" i="1" a="1"/>
  <c r="B8" i="1" a="1"/>
  <c r="B4" i="1" a="1"/>
  <c r="B4" i="1" s="1"/>
  <c r="B3" i="1" a="1"/>
  <c r="H3" i="1" s="1"/>
  <c r="H1" i="3"/>
  <c r="E23" i="3"/>
  <c r="D25" i="3"/>
  <c r="D23" i="3"/>
  <c r="B8" i="3" a="1"/>
  <c r="C8" i="3" s="1"/>
  <c r="B6" i="3" a="1"/>
  <c r="C6" i="3" s="1"/>
  <c r="F23" i="2" l="1"/>
  <c r="F25" i="2" s="1"/>
  <c r="F24" i="2"/>
  <c r="G24" i="1"/>
  <c r="C24" i="1"/>
  <c r="G25" i="2"/>
  <c r="C25" i="2"/>
  <c r="G23" i="2"/>
  <c r="G24" i="2" s="1"/>
  <c r="H23" i="2"/>
  <c r="H22" i="2"/>
  <c r="G22" i="2"/>
  <c r="F15" i="2"/>
  <c r="E15" i="2"/>
  <c r="F14" i="2"/>
  <c r="E14" i="2"/>
  <c r="F10" i="2"/>
  <c r="E10" i="2"/>
  <c r="F11" i="2"/>
  <c r="E11" i="2"/>
  <c r="D23" i="2"/>
  <c r="C23" i="2"/>
  <c r="D21" i="2"/>
  <c r="C21" i="2"/>
  <c r="D19" i="2"/>
  <c r="C19" i="2"/>
  <c r="I7" i="2"/>
  <c r="E7" i="2"/>
  <c r="H7" i="2"/>
  <c r="D7" i="2"/>
  <c r="K7" i="2"/>
  <c r="G7" i="2"/>
  <c r="C7" i="2"/>
  <c r="J7" i="2"/>
  <c r="F7" i="2"/>
  <c r="I6" i="2"/>
  <c r="D6" i="2"/>
  <c r="G6" i="2"/>
  <c r="C6" i="2"/>
  <c r="E6" i="2"/>
  <c r="H6" i="2"/>
  <c r="J6" i="2"/>
  <c r="F6" i="2"/>
  <c r="H5" i="2"/>
  <c r="D5" i="2"/>
  <c r="K5" i="2"/>
  <c r="G5" i="2"/>
  <c r="C5" i="2"/>
  <c r="I5" i="2"/>
  <c r="E5" i="2"/>
  <c r="J5" i="2"/>
  <c r="F5" i="2"/>
  <c r="E3" i="2"/>
  <c r="H3" i="2"/>
  <c r="D3" i="2"/>
  <c r="I3" i="2"/>
  <c r="G3" i="2"/>
  <c r="C3" i="2"/>
  <c r="J3" i="2"/>
  <c r="F3" i="2"/>
  <c r="F14" i="1"/>
  <c r="E14" i="1"/>
  <c r="D13" i="1"/>
  <c r="F13" i="1"/>
  <c r="E13" i="1"/>
  <c r="E4" i="1"/>
  <c r="H4" i="1"/>
  <c r="D4" i="1"/>
  <c r="K4" i="1"/>
  <c r="G4" i="1"/>
  <c r="C4" i="1"/>
  <c r="I4" i="1"/>
  <c r="J4" i="1"/>
  <c r="F4" i="1"/>
  <c r="J3" i="1"/>
  <c r="C3" i="1"/>
  <c r="F3" i="1"/>
  <c r="G3" i="1"/>
  <c r="I3" i="1"/>
  <c r="B3" i="1"/>
  <c r="D3" i="1"/>
  <c r="E3" i="1"/>
  <c r="B8" i="3"/>
  <c r="J8" i="3"/>
  <c r="E8" i="3"/>
  <c r="D8" i="3"/>
  <c r="I8" i="3"/>
  <c r="H8" i="3"/>
  <c r="G8" i="3"/>
  <c r="F8" i="3"/>
  <c r="B6" i="3"/>
  <c r="J6" i="3"/>
  <c r="I6" i="3"/>
  <c r="H6" i="3"/>
  <c r="G6" i="3"/>
  <c r="F6" i="3"/>
  <c r="E6" i="3"/>
  <c r="D6" i="3"/>
  <c r="H19" i="1"/>
  <c r="B13" i="3" l="1" a="1"/>
  <c r="B13" i="3" s="1"/>
  <c r="B12" i="3"/>
  <c r="B11" i="3" a="1"/>
  <c r="B11" i="3" s="1"/>
  <c r="B17" i="3" a="1"/>
  <c r="B17" i="3" s="1"/>
  <c r="B15" i="3" a="1"/>
  <c r="B15" i="3" s="1"/>
  <c r="B5" i="1" a="1"/>
  <c r="I5" i="1" s="1"/>
  <c r="B13" i="1"/>
  <c r="B16" i="3"/>
  <c r="D19" i="1"/>
  <c r="D17" i="3" l="1" a="1"/>
  <c r="D16" i="3" a="1"/>
  <c r="D13" i="3" a="1"/>
  <c r="D12" i="3" a="1"/>
  <c r="E5" i="1"/>
  <c r="J5" i="1"/>
  <c r="H5" i="1"/>
  <c r="F5" i="1"/>
  <c r="D5" i="1"/>
  <c r="C5" i="1"/>
  <c r="K5" i="1"/>
  <c r="B5" i="1"/>
  <c r="G5" i="1"/>
  <c r="B10" i="1" l="1"/>
  <c r="D12" i="3"/>
  <c r="F12" i="3"/>
  <c r="E12" i="3"/>
  <c r="D13" i="3"/>
  <c r="F13" i="3"/>
  <c r="E13" i="3"/>
  <c r="D16" i="3"/>
  <c r="E16" i="3"/>
  <c r="F16" i="3"/>
  <c r="D17" i="3"/>
  <c r="F17" i="3"/>
  <c r="E17" i="3"/>
  <c r="B8" i="1"/>
  <c r="B9" i="1" a="1"/>
  <c r="B9" i="1" s="1"/>
  <c r="E10" i="1" l="1"/>
  <c r="D9" i="1"/>
  <c r="F9" i="1"/>
  <c r="F10" i="1"/>
  <c r="D10" i="1"/>
  <c r="E9" i="1"/>
  <c r="F18" i="1" a="1"/>
  <c r="B18" i="1" a="1"/>
  <c r="C18" i="1" l="1"/>
  <c r="B18" i="1"/>
  <c r="D18" i="1"/>
  <c r="F18" i="1"/>
  <c r="H18" i="1"/>
  <c r="G18" i="1"/>
  <c r="F21" i="1" l="1" a="1"/>
  <c r="F23" i="1" l="1" a="1"/>
  <c r="B21" i="1" l="1" a="1"/>
  <c r="B23" i="1" a="1"/>
  <c r="B19" i="1" l="1" a="1"/>
  <c r="C19" i="1"/>
  <c r="B19" i="1" s="1"/>
  <c r="F20" i="1" a="1"/>
  <c r="B20" i="1" a="1"/>
  <c r="D20" i="1" s="1"/>
  <c r="D21" i="1" s="1"/>
  <c r="B26" i="3" a="1"/>
  <c r="D26" i="3"/>
  <c r="H20" i="1" l="1"/>
  <c r="H21" i="1" s="1"/>
  <c r="F22" i="1" l="1" a="1"/>
  <c r="B22" i="1" a="1"/>
  <c r="H22" i="1" l="1"/>
  <c r="D22" i="1"/>
  <c r="B23" i="3" a="1"/>
  <c r="C23" i="3"/>
  <c r="G20" i="1"/>
  <c r="G21" i="1" s="1"/>
  <c r="G22" i="1" s="1"/>
  <c r="C20" i="1"/>
  <c r="C21" i="1" s="1"/>
  <c r="C22" i="1" s="1"/>
  <c r="C23" i="1" s="1"/>
  <c r="B23" i="3"/>
  <c r="F20" i="1"/>
  <c r="F21" i="1" s="1"/>
  <c r="F22" i="1" s="1"/>
  <c r="B20" i="1"/>
  <c r="B21" i="1" s="1"/>
  <c r="B22" i="1" s="1"/>
  <c r="B23" i="1" s="1"/>
  <c r="B25" i="3" a="1"/>
  <c r="C25" i="3"/>
  <c r="B25" i="3"/>
  <c r="B26" i="3"/>
  <c r="C26" i="3"/>
  <c r="B20" i="2" a="1"/>
  <c r="C20" i="2"/>
  <c r="C22" i="2" s="1"/>
  <c r="B20" i="2"/>
  <c r="B22" i="2" s="1"/>
  <c r="B24" i="2" s="1"/>
  <c r="D22" i="2"/>
  <c r="B22" i="2" a="1"/>
  <c r="B24" i="2" a="1"/>
  <c r="G23" i="1" l="1"/>
  <c r="F23" i="1"/>
  <c r="C24" i="2"/>
  <c r="C17" i="5" l="1" a="1"/>
  <c r="B16" i="5" a="1"/>
  <c r="E16" i="5"/>
  <c r="D16" i="5"/>
  <c r="D17" i="5"/>
  <c r="E17" i="5"/>
  <c r="C16" i="5"/>
  <c r="B16" i="5"/>
  <c r="C17" i="5"/>
  <c r="B20" i="5" s="1"/>
  <c r="B21" i="5" s="1"/>
</calcChain>
</file>

<file path=xl/sharedStrings.xml><?xml version="1.0" encoding="utf-8"?>
<sst xmlns="http://schemas.openxmlformats.org/spreadsheetml/2006/main" count="101" uniqueCount="80">
  <si>
    <t>Sales</t>
  </si>
  <si>
    <t>P/S (ttm)</t>
  </si>
  <si>
    <t>Sales per share</t>
  </si>
  <si>
    <t>USD:</t>
  </si>
  <si>
    <t>DKK:</t>
  </si>
  <si>
    <t>Diluted EPS</t>
  </si>
  <si>
    <t>Diluted Shares Outstanding</t>
  </si>
  <si>
    <t>Sales Growth</t>
  </si>
  <si>
    <t>% Change</t>
  </si>
  <si>
    <t>Diluted EPS Growth</t>
  </si>
  <si>
    <t xml:space="preserve">Current Stock Price: </t>
  </si>
  <si>
    <t>Stock Price Valuation</t>
  </si>
  <si>
    <t>Dividend</t>
  </si>
  <si>
    <t>Dividend Growth</t>
  </si>
  <si>
    <t>Dividend Growth 9yr. Avg.</t>
  </si>
  <si>
    <t>Dil. Shares Out. Chg. 9yr. Avg.</t>
  </si>
  <si>
    <t>Dividends</t>
  </si>
  <si>
    <t>Dividends Per Share</t>
  </si>
  <si>
    <t>Stock Price Valuation cum Div.</t>
  </si>
  <si>
    <t>Diluted Shares Outstanding Avg.</t>
  </si>
  <si>
    <t>DKK to USD</t>
  </si>
  <si>
    <t>Earnings</t>
  </si>
  <si>
    <t>Earnings Growth</t>
  </si>
  <si>
    <t>Sales Growth Avg.</t>
  </si>
  <si>
    <t>Stock Price on Date</t>
  </si>
  <si>
    <t>P/S</t>
  </si>
  <si>
    <t>Sales per Share</t>
  </si>
  <si>
    <t>Sales Growth Std. Dev.</t>
  </si>
  <si>
    <t>P/S Avg.</t>
  </si>
  <si>
    <t>P/S Std. Dev.</t>
  </si>
  <si>
    <t>P/S Median</t>
  </si>
  <si>
    <t>Std. Dev.:</t>
  </si>
  <si>
    <t xml:space="preserve"> +</t>
  </si>
  <si>
    <t xml:space="preserve"> -</t>
  </si>
  <si>
    <t>Sales Growth Median</t>
  </si>
  <si>
    <t>+</t>
  </si>
  <si>
    <t>-</t>
  </si>
  <si>
    <t>Sales Growth %</t>
  </si>
  <si>
    <t>Analyst Prediction</t>
  </si>
  <si>
    <t>Dil. Shares Out. Chg. 9yr. Std. Dev.</t>
  </si>
  <si>
    <t>Dividend Growth 9yr. Std. Dev.</t>
  </si>
  <si>
    <t>Dil. Shares Out. Chg. 9yr. Median</t>
  </si>
  <si>
    <t>Dividend Growth 9yr. Median</t>
  </si>
  <si>
    <t>Std. Dev.</t>
  </si>
  <si>
    <t>Diluted Shares Growth %</t>
  </si>
  <si>
    <t>Dividend Growth %</t>
  </si>
  <si>
    <t>Diluted EPS Adjusted 
for 5-1 Split in Jan 2014</t>
  </si>
  <si>
    <t>P/E</t>
  </si>
  <si>
    <t>P/E Median</t>
  </si>
  <si>
    <t>P/E Average</t>
  </si>
  <si>
    <t>P/E Std. Dev.</t>
  </si>
  <si>
    <t>Earnings Growth Median</t>
  </si>
  <si>
    <t>Earnings Growth Average</t>
  </si>
  <si>
    <t>Earnings Growth Std. Dev.</t>
  </si>
  <si>
    <t>Earnings Growth %</t>
  </si>
  <si>
    <t>Earnings Per Share</t>
  </si>
  <si>
    <t>analyst prediction</t>
  </si>
  <si>
    <t>Return from 12/31/2016</t>
  </si>
  <si>
    <t>Return from 3/6/2017</t>
  </si>
  <si>
    <t>FCF</t>
  </si>
  <si>
    <t>FCF growth</t>
  </si>
  <si>
    <t>FCF growth median</t>
  </si>
  <si>
    <t>FCF growth average</t>
  </si>
  <si>
    <t>Weight</t>
  </si>
  <si>
    <t>Cost</t>
  </si>
  <si>
    <t>Debt</t>
  </si>
  <si>
    <t>WACC</t>
  </si>
  <si>
    <t>CAPM</t>
  </si>
  <si>
    <t>beta</t>
  </si>
  <si>
    <t>risk free rate</t>
  </si>
  <si>
    <t>market return</t>
  </si>
  <si>
    <t>required return</t>
  </si>
  <si>
    <t>Equity (CAPM</t>
  </si>
  <si>
    <t>PV @ WACC</t>
  </si>
  <si>
    <t>Year</t>
  </si>
  <si>
    <t>CV @ 3</t>
  </si>
  <si>
    <t>FCF long term</t>
  </si>
  <si>
    <t>DCF valuation</t>
  </si>
  <si>
    <t>PV of CV @ WACC</t>
  </si>
  <si>
    <t>DCF valuation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</si>
</sst>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2" borderId="0" xfId="0" applyFill="1"/>
    <xf numFmtId="10" fontId="2" fillId="3" borderId="1" xfId="1" applyNumberFormat="1"/>
    <xf numFmtId="0" fontId="2" fillId="3" borderId="1" xfId="1"/>
    <xf numFmtId="164" fontId="2" fillId="3" borderId="1" xfId="1" applyNumberFormat="1"/>
    <xf numFmtId="0" fontId="3" fillId="3" borderId="2" xfId="2" applyFill="1"/>
    <xf numFmtId="164" fontId="3" fillId="3" borderId="2" xfId="2" applyNumberFormat="1" applyFill="1"/>
    <xf numFmtId="14" fontId="0" fillId="0" borderId="0" xfId="0" applyNumberFormat="1"/>
    <xf numFmtId="2" fontId="2" fillId="3" borderId="1" xfId="1" applyNumberFormat="1"/>
    <xf numFmtId="164" fontId="3" fillId="0" borderId="2" xfId="2" applyNumberFormat="1"/>
    <xf numFmtId="2" fontId="3" fillId="0" borderId="2" xfId="2" applyNumberFormat="1"/>
    <xf numFmtId="2" fontId="0" fillId="0" borderId="0" xfId="0" applyNumberFormat="1"/>
    <xf numFmtId="10" fontId="3" fillId="0" borderId="2" xfId="2" applyNumberFormat="1"/>
    <xf numFmtId="0" fontId="0" fillId="0" borderId="0" xfId="0" applyFont="1" applyFill="1" applyBorder="1"/>
    <xf numFmtId="10" fontId="0" fillId="0" borderId="0" xfId="0" applyNumberFormat="1" applyFill="1" applyBorder="1"/>
    <xf numFmtId="0" fontId="0" fillId="0" borderId="0" xfId="0" applyAlignment="1">
      <alignment wrapText="1"/>
    </xf>
    <xf numFmtId="3" fontId="0" fillId="0" borderId="0" xfId="0" applyNumberFormat="1"/>
    <xf numFmtId="0" fontId="4" fillId="2" borderId="0" xfId="0" applyFont="1" applyFill="1"/>
    <xf numFmtId="9" fontId="0" fillId="0" borderId="0" xfId="0" applyNumberFormat="1"/>
    <xf numFmtId="14" fontId="0" fillId="0" borderId="0" xfId="0" applyNumberFormat="1" applyFont="1"/>
  </cellXfs>
  <cellStyles count="3">
    <cellStyle name="Calculation" xfId="1" builtinId="22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994551881708188E-2"/>
          <c:y val="0.1169109535066982"/>
          <c:w val="0.89366612344978946"/>
          <c:h val="0.809966059207138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 Valuation'!$B$1:$K$1</c:f>
              <c:numCache>
                <c:formatCode>m/d/yyyy</c:formatCode>
                <c:ptCount val="10"/>
                <c:pt idx="0">
                  <c:v>42735</c:v>
                </c:pt>
                <c:pt idx="1">
                  <c:v>42369</c:v>
                </c:pt>
                <c:pt idx="2">
                  <c:v>42004</c:v>
                </c:pt>
                <c:pt idx="3">
                  <c:v>41639</c:v>
                </c:pt>
                <c:pt idx="4">
                  <c:v>41274</c:v>
                </c:pt>
                <c:pt idx="5">
                  <c:v>40908</c:v>
                </c:pt>
                <c:pt idx="6">
                  <c:v>40543</c:v>
                </c:pt>
                <c:pt idx="7">
                  <c:v>40178</c:v>
                </c:pt>
                <c:pt idx="8">
                  <c:v>39813</c:v>
                </c:pt>
                <c:pt idx="9">
                  <c:v>39447</c:v>
                </c:pt>
              </c:numCache>
            </c:numRef>
          </c:xVal>
          <c:yVal>
            <c:numRef>
              <c:f>'PS Valuation'!$B$5:$K$5</c:f>
              <c:numCache>
                <c:formatCode>0.00</c:formatCode>
                <c:ptCount val="10"/>
                <c:pt idx="0">
                  <c:v>5.8083456518266221</c:v>
                </c:pt>
                <c:pt idx="1">
                  <c:v>9.9083833457977324</c:v>
                </c:pt>
                <c:pt idx="2">
                  <c:v>8.9529973746863138</c:v>
                </c:pt>
                <c:pt idx="3">
                  <c:v>8.5067900641025656</c:v>
                </c:pt>
                <c:pt idx="4">
                  <c:v>8.2419914313962437</c:v>
                </c:pt>
                <c:pt idx="5">
                  <c:v>7.0741691787606049</c:v>
                </c:pt>
                <c:pt idx="6">
                  <c:v>7.7445685953035763</c:v>
                </c:pt>
                <c:pt idx="7">
                  <c:v>5.3959674376651883</c:v>
                </c:pt>
                <c:pt idx="8">
                  <c:v>5.0028801392416966</c:v>
                </c:pt>
                <c:pt idx="9">
                  <c:v>7.0474474839062218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A-4CAD-B19D-543186A06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224808"/>
        <c:axId val="436638928"/>
      </c:scatterChart>
      <c:valAx>
        <c:axId val="546224808"/>
        <c:scaling>
          <c:orientation val="minMax"/>
          <c:min val="3908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38928"/>
        <c:crosses val="autoZero"/>
        <c:crossBetween val="midCat"/>
        <c:majorUnit val="365.25"/>
      </c:valAx>
      <c:valAx>
        <c:axId val="4366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2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 Valuation'!$B$1:$K$1</c:f>
              <c:numCache>
                <c:formatCode>m/d/yyyy</c:formatCode>
                <c:ptCount val="10"/>
                <c:pt idx="0">
                  <c:v>42735</c:v>
                </c:pt>
                <c:pt idx="1">
                  <c:v>42369</c:v>
                </c:pt>
                <c:pt idx="2">
                  <c:v>42004</c:v>
                </c:pt>
                <c:pt idx="3">
                  <c:v>41639</c:v>
                </c:pt>
                <c:pt idx="4">
                  <c:v>41274</c:v>
                </c:pt>
                <c:pt idx="5">
                  <c:v>40908</c:v>
                </c:pt>
                <c:pt idx="6">
                  <c:v>40543</c:v>
                </c:pt>
                <c:pt idx="7">
                  <c:v>40178</c:v>
                </c:pt>
                <c:pt idx="8">
                  <c:v>39813</c:v>
                </c:pt>
                <c:pt idx="9">
                  <c:v>39447</c:v>
                </c:pt>
              </c:numCache>
            </c:numRef>
          </c:xVal>
          <c:yVal>
            <c:numRef>
              <c:f>'PS Valuation'!$B$2:$K$2</c:f>
              <c:numCache>
                <c:formatCode>"$"#,##0.00</c:formatCode>
                <c:ptCount val="10"/>
                <c:pt idx="0">
                  <c:v>15649100000</c:v>
                </c:pt>
                <c:pt idx="1">
                  <c:v>15109700000</c:v>
                </c:pt>
                <c:pt idx="2">
                  <c:v>12432800000</c:v>
                </c:pt>
                <c:pt idx="3">
                  <c:v>11700000000</c:v>
                </c:pt>
                <c:pt idx="4">
                  <c:v>10923600000</c:v>
                </c:pt>
                <c:pt idx="5">
                  <c:v>9288400000</c:v>
                </c:pt>
                <c:pt idx="6">
                  <c:v>8508600000</c:v>
                </c:pt>
                <c:pt idx="7">
                  <c:v>7150900000</c:v>
                </c:pt>
                <c:pt idx="8">
                  <c:v>6377400000</c:v>
                </c:pt>
                <c:pt idx="9">
                  <c:v>5856300000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E-4728-B529-1C715F8E1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78928"/>
        <c:axId val="544379912"/>
      </c:scatterChart>
      <c:valAx>
        <c:axId val="544378928"/>
        <c:scaling>
          <c:orientation val="minMax"/>
          <c:min val="3908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9912"/>
        <c:crosses val="autoZero"/>
        <c:crossBetween val="midCat"/>
        <c:majorUnit val="365.25"/>
      </c:valAx>
      <c:valAx>
        <c:axId val="54437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7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 Valuation'!$B$1:$K$1</c:f>
              <c:numCache>
                <c:formatCode>m/d/yyyy</c:formatCode>
                <c:ptCount val="10"/>
                <c:pt idx="0">
                  <c:v>42735</c:v>
                </c:pt>
                <c:pt idx="1">
                  <c:v>42369</c:v>
                </c:pt>
                <c:pt idx="2">
                  <c:v>42004</c:v>
                </c:pt>
                <c:pt idx="3">
                  <c:v>41639</c:v>
                </c:pt>
                <c:pt idx="4">
                  <c:v>41274</c:v>
                </c:pt>
                <c:pt idx="5">
                  <c:v>40908</c:v>
                </c:pt>
                <c:pt idx="6">
                  <c:v>40543</c:v>
                </c:pt>
                <c:pt idx="7">
                  <c:v>40178</c:v>
                </c:pt>
                <c:pt idx="8">
                  <c:v>39813</c:v>
                </c:pt>
                <c:pt idx="9">
                  <c:v>39447</c:v>
                </c:pt>
              </c:numCache>
            </c:numRef>
          </c:xVal>
          <c:yVal>
            <c:numRef>
              <c:f>'PS Valuation'!$B$3:$K$3</c:f>
              <c:numCache>
                <c:formatCode>0.00%</c:formatCode>
                <c:ptCount val="10"/>
                <c:pt idx="0">
                  <c:v>3.5698921884617166E-2</c:v>
                </c:pt>
                <c:pt idx="1">
                  <c:v>0.21530950389292838</c:v>
                </c:pt>
                <c:pt idx="2">
                  <c:v>6.263247863247863E-2</c:v>
                </c:pt>
                <c:pt idx="3">
                  <c:v>7.1075469625398222E-2</c:v>
                </c:pt>
                <c:pt idx="4">
                  <c:v>0.17604754317212867</c:v>
                </c:pt>
                <c:pt idx="5">
                  <c:v>9.1648449803727994E-2</c:v>
                </c:pt>
                <c:pt idx="6">
                  <c:v>0.18986421289627878</c:v>
                </c:pt>
                <c:pt idx="7">
                  <c:v>0.12128767209207514</c:v>
                </c:pt>
                <c:pt idx="8">
                  <c:v>8.898109727985247E-2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5-4BA6-83D7-484359D50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197160"/>
        <c:axId val="546199128"/>
      </c:scatterChart>
      <c:valAx>
        <c:axId val="546197160"/>
        <c:scaling>
          <c:orientation val="minMax"/>
          <c:min val="3908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99128"/>
        <c:crosses val="autoZero"/>
        <c:crossBetween val="midCat"/>
        <c:majorUnit val="365.25"/>
      </c:valAx>
      <c:valAx>
        <c:axId val="54619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9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828674</xdr:colOff>
      <xdr:row>39</xdr:row>
      <xdr:rowOff>19049</xdr:rowOff>
    </xdr:from>
    <xdr:to>
      <xdr:col>18</xdr:col>
      <xdr:colOff>9525</xdr:colOff>
      <xdr:row>60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D21AF-45E2-42A5-83C0-C18913CF5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252411</xdr:colOff>
      <xdr:row>5</xdr:row>
      <xdr:rowOff>180975</xdr:rowOff>
    </xdr:from>
    <xdr:to>
      <xdr:col>17</xdr:col>
      <xdr:colOff>561975</xdr:colOff>
      <xdr:row>21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C6E224-8C8F-4B6A-ACB9-C8B056B4E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781049</xdr:colOff>
      <xdr:row>22</xdr:row>
      <xdr:rowOff>66675</xdr:rowOff>
    </xdr:from>
    <xdr:to>
      <xdr:col>17</xdr:col>
      <xdr:colOff>590550</xdr:colOff>
      <xdr:row>36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E58F42-B504-470D-ABE5-F43956155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1" sqref="F1"/>
    </sheetView>
  </sheetViews>
  <sheetFormatPr defaultRowHeight="15" x14ac:dyDescent="0.25"/>
  <cols>
    <col min="1" max="1" width="31.42578125" customWidth="1"/>
    <col min="2" max="2" width="16.42578125" customWidth="1"/>
    <col min="3" max="3" width="17" customWidth="1"/>
    <col min="4" max="4" width="18.42578125" customWidth="1"/>
    <col min="5" max="5" width="17.7109375" customWidth="1"/>
    <col min="6" max="6" width="19.140625" customWidth="1"/>
    <col min="7" max="7" width="16.7109375" customWidth="1"/>
    <col min="8" max="8" width="18.42578125" customWidth="1"/>
    <col min="9" max="9" width="16" customWidth="1"/>
    <col min="10" max="10" width="14.7109375" customWidth="1"/>
    <col min="11" max="11" width="15" customWidth="1"/>
  </cols>
  <sheetData>
    <row r="1" spans="1:11" x14ac:dyDescent="0.25">
      <c r="A1" t="s">
        <v>10</v>
      </c>
      <c r="B1" s="3">
        <v>34</v>
      </c>
      <c r="C1" s="3" t="s">
        <v>20</v>
      </c>
      <c r="D1">
        <v>7.1429</v>
      </c>
      <c r="E1" t="s">
        <v>4</v>
      </c>
      <c r="F1" s="21">
        <v>27396</v>
      </c>
      <c r="G1" t="s">
        <v>3</v>
      </c>
      <c r="H1" s="8">
        <f>F1/D1</f>
        <v>3835.4169874980748</v>
      </c>
    </row>
    <row r="3" spans="1:11" x14ac:dyDescent="0.25">
      <c r="B3" s="12">
        <v>42735</v>
      </c>
      <c r="C3" s="12">
        <v>42369</v>
      </c>
      <c r="D3" s="12">
        <v>42004</v>
      </c>
      <c r="E3" s="12">
        <v>41639</v>
      </c>
      <c r="F3" s="12">
        <v>41274</v>
      </c>
      <c r="G3" s="12">
        <v>40908</v>
      </c>
      <c r="H3" s="12">
        <v>40543</v>
      </c>
      <c r="I3" s="12">
        <v>40178</v>
      </c>
      <c r="J3" s="12">
        <v>39813</v>
      </c>
      <c r="K3" s="12">
        <v>39447</v>
      </c>
    </row>
    <row r="4" spans="1:11" x14ac:dyDescent="0.25">
      <c r="A4" t="s">
        <v>24</v>
      </c>
      <c r="B4" s="3">
        <v>35.86</v>
      </c>
      <c r="C4" s="3">
        <v>58.08</v>
      </c>
      <c r="D4" s="3">
        <v>42.32</v>
      </c>
      <c r="E4" s="3">
        <v>36.950000000000003</v>
      </c>
      <c r="F4" s="3">
        <v>32.64</v>
      </c>
      <c r="G4" s="3">
        <v>23.05</v>
      </c>
      <c r="H4" s="3">
        <v>22.51</v>
      </c>
      <c r="I4" s="3">
        <v>12.77</v>
      </c>
      <c r="J4" s="3">
        <v>10.28</v>
      </c>
      <c r="K4" s="3">
        <v>12.97</v>
      </c>
    </row>
    <row r="5" spans="1:11" x14ac:dyDescent="0.25">
      <c r="A5" t="s">
        <v>6</v>
      </c>
      <c r="B5" s="4">
        <v>2534729000</v>
      </c>
      <c r="C5" s="4">
        <v>2577698000</v>
      </c>
      <c r="D5" s="4">
        <v>2630218000</v>
      </c>
      <c r="E5" s="4">
        <v>2693625000</v>
      </c>
      <c r="F5" s="4">
        <v>2758340000</v>
      </c>
      <c r="G5" s="4">
        <v>2850660000</v>
      </c>
      <c r="H5" s="4">
        <v>2927385000</v>
      </c>
      <c r="I5" s="4">
        <v>3021615000</v>
      </c>
      <c r="J5" s="4">
        <v>3103635000</v>
      </c>
      <c r="K5" s="4">
        <v>3182110000</v>
      </c>
    </row>
    <row r="6" spans="1:11" x14ac:dyDescent="0.25">
      <c r="A6" t="s">
        <v>8</v>
      </c>
      <c r="B6" s="7">
        <f t="array" ref="B6:J6">(B5:J5-C5:K5)/C5:K5</f>
        <v>-1.6669524513732797E-2</v>
      </c>
      <c r="C6" s="7">
        <v>-1.996792661292714E-2</v>
      </c>
      <c r="D6" s="7">
        <v>-2.3539653812241868E-2</v>
      </c>
      <c r="E6" s="7">
        <v>-2.3461574715227276E-2</v>
      </c>
      <c r="F6" s="7">
        <v>-3.2385482660155895E-2</v>
      </c>
      <c r="G6" s="7">
        <v>-2.6209398490461625E-2</v>
      </c>
      <c r="H6" s="7">
        <v>-3.1185309842584181E-2</v>
      </c>
      <c r="I6" s="7">
        <v>-2.6427076637555641E-2</v>
      </c>
      <c r="J6" s="7">
        <v>-2.466130963417355E-2</v>
      </c>
      <c r="K6" s="6"/>
    </row>
    <row r="7" spans="1:11" x14ac:dyDescent="0.25">
      <c r="A7" t="s">
        <v>12</v>
      </c>
      <c r="B7" s="3">
        <v>3336200000</v>
      </c>
      <c r="C7" s="3">
        <v>1806700000</v>
      </c>
      <c r="D7" s="3">
        <v>1661240000</v>
      </c>
      <c r="E7" s="3">
        <v>1360100000</v>
      </c>
      <c r="F7" s="3">
        <v>1083880000</v>
      </c>
      <c r="G7" s="3">
        <v>798000000</v>
      </c>
      <c r="H7" s="3">
        <v>616000000</v>
      </c>
      <c r="I7" s="3">
        <v>511000000</v>
      </c>
      <c r="J7" s="3">
        <v>391300000</v>
      </c>
      <c r="K7" s="3">
        <v>310940000</v>
      </c>
    </row>
    <row r="8" spans="1:11" x14ac:dyDescent="0.25">
      <c r="A8" t="s">
        <v>13</v>
      </c>
      <c r="B8" s="7">
        <f t="array" ref="B8:J8">(B7:J7-C7:K7)/C7:K7</f>
        <v>0.84657109647423479</v>
      </c>
      <c r="C8" s="7">
        <v>8.7561098938142595E-2</v>
      </c>
      <c r="D8" s="7">
        <v>0.22141019042717447</v>
      </c>
      <c r="E8" s="7">
        <v>0.25484370963575304</v>
      </c>
      <c r="F8" s="7">
        <v>0.3582456140350877</v>
      </c>
      <c r="G8" s="7">
        <v>0.29545454545454547</v>
      </c>
      <c r="H8" s="7">
        <v>0.20547945205479451</v>
      </c>
      <c r="I8" s="7">
        <v>0.30590339892665475</v>
      </c>
      <c r="J8" s="7">
        <v>0.25844214317874831</v>
      </c>
      <c r="K8" s="6"/>
    </row>
    <row r="11" spans="1:11" x14ac:dyDescent="0.25">
      <c r="A11" s="2" t="s">
        <v>41</v>
      </c>
      <c r="B11" s="7">
        <f t="array" ref="B11">MEDIAN(B6:J6)</f>
        <v>-2.466130963417355E-2</v>
      </c>
      <c r="C11" t="s">
        <v>43</v>
      </c>
      <c r="D11">
        <v>1</v>
      </c>
      <c r="E11">
        <v>2</v>
      </c>
      <c r="F11">
        <v>3</v>
      </c>
    </row>
    <row r="12" spans="1:11" x14ac:dyDescent="0.25">
      <c r="A12" s="2" t="s">
        <v>15</v>
      </c>
      <c r="B12" s="7">
        <f>AVERAGE(B6:J6)</f>
        <v>-2.4945250768784441E-2</v>
      </c>
      <c r="C12" s="5" t="s">
        <v>35</v>
      </c>
      <c r="D12" s="7">
        <f t="array" ref="D12:F12">B12+D11:F11*B13</f>
        <v>-2.0283249696109878E-2</v>
      </c>
      <c r="E12" s="7">
        <v>-1.5621248623435315E-2</v>
      </c>
      <c r="F12" s="7">
        <v>-1.0959247550760751E-2</v>
      </c>
    </row>
    <row r="13" spans="1:11" x14ac:dyDescent="0.25">
      <c r="A13" s="2" t="s">
        <v>39</v>
      </c>
      <c r="B13" s="7">
        <f t="array" ref="B13">_xlfn.STDEV.P(B6:J6)</f>
        <v>4.6620010726745632E-3</v>
      </c>
      <c r="C13" s="4" t="s">
        <v>36</v>
      </c>
      <c r="D13" s="7">
        <f t="array" ref="D13:F13">B12-D11:F11*B13</f>
        <v>-2.9607251841459004E-2</v>
      </c>
      <c r="E13" s="7">
        <v>-3.4269252914133568E-2</v>
      </c>
      <c r="F13" s="7">
        <v>-3.8931253986808134E-2</v>
      </c>
    </row>
    <row r="14" spans="1:11" x14ac:dyDescent="0.25">
      <c r="A14" s="2"/>
      <c r="C14" s="5"/>
    </row>
    <row r="15" spans="1:11" x14ac:dyDescent="0.25">
      <c r="A15" s="2" t="s">
        <v>42</v>
      </c>
      <c r="B15" s="7">
        <f t="array" ref="B15">MEDIAN(B8:J8)</f>
        <v>0.25844214317874831</v>
      </c>
      <c r="C15" s="5" t="s">
        <v>43</v>
      </c>
      <c r="D15">
        <v>1</v>
      </c>
      <c r="E15">
        <v>2</v>
      </c>
      <c r="F15">
        <v>3</v>
      </c>
    </row>
    <row r="16" spans="1:11" x14ac:dyDescent="0.25">
      <c r="A16" s="2" t="s">
        <v>14</v>
      </c>
      <c r="B16" s="7">
        <f>AVERAGE(B8:J8)</f>
        <v>0.31487902768057063</v>
      </c>
      <c r="C16" s="19" t="s">
        <v>35</v>
      </c>
      <c r="D16" s="7">
        <f t="array" ref="D16:F16">B16+D15:F15*B17</f>
        <v>0.5160429967342236</v>
      </c>
      <c r="E16" s="7">
        <v>0.71720696578787657</v>
      </c>
      <c r="F16" s="7">
        <v>0.91837093484152954</v>
      </c>
    </row>
    <row r="17" spans="1:6" x14ac:dyDescent="0.25">
      <c r="A17" s="18" t="s">
        <v>40</v>
      </c>
      <c r="B17" s="7">
        <f t="array" ref="B17">_xlfn.STDEV.P(B8:J8)</f>
        <v>0.20116396905365297</v>
      </c>
      <c r="C17" s="19" t="s">
        <v>36</v>
      </c>
      <c r="D17" s="7">
        <f t="array" ref="D17:F17">B16-D15:F15*B17</f>
        <v>0.11371505862691766</v>
      </c>
      <c r="E17" s="7">
        <v>-8.7448910426735305E-2</v>
      </c>
      <c r="F17" s="7">
        <v>-0.28861287948038827</v>
      </c>
    </row>
    <row r="20" spans="1:6" ht="15.75" thickBot="1" x14ac:dyDescent="0.3">
      <c r="A20" t="s">
        <v>44</v>
      </c>
      <c r="B20" s="17">
        <f>B12</f>
        <v>-2.4945250768784441E-2</v>
      </c>
    </row>
    <row r="21" spans="1:6" ht="16.5" thickTop="1" thickBot="1" x14ac:dyDescent="0.3">
      <c r="A21" t="s">
        <v>45</v>
      </c>
      <c r="B21" s="17">
        <f t="array" ref="B21">B16</f>
        <v>0.31487902768057063</v>
      </c>
    </row>
    <row r="22" spans="1:6" ht="15.75" thickTop="1" x14ac:dyDescent="0.25">
      <c r="A22" s="2"/>
      <c r="B22">
        <v>2018</v>
      </c>
      <c r="C22">
        <v>2017</v>
      </c>
      <c r="D22">
        <v>2016</v>
      </c>
      <c r="E22">
        <v>2015</v>
      </c>
    </row>
    <row r="23" spans="1:6" ht="15.75" thickBot="1" x14ac:dyDescent="0.3">
      <c r="A23" t="s">
        <v>6</v>
      </c>
      <c r="B23" s="8">
        <f t="array" ref="B23:C23">C23:D23*(1+B20)</f>
        <v>2409847373.4277706</v>
      </c>
      <c r="C23" s="8">
        <v>2471499549.4640899</v>
      </c>
      <c r="D23" s="10">
        <f>B5</f>
        <v>2534729000</v>
      </c>
      <c r="E23" s="10">
        <f>C5</f>
        <v>2577698000</v>
      </c>
    </row>
    <row r="24" spans="1:6" ht="15.75" thickTop="1" x14ac:dyDescent="0.25">
      <c r="A24" t="s">
        <v>19</v>
      </c>
      <c r="B24" s="8">
        <f>AVERAGE(B23:C23)</f>
        <v>2440673461.4459305</v>
      </c>
      <c r="C24" s="8">
        <f>AVERAGE(C23:D23)</f>
        <v>2503114274.7320452</v>
      </c>
      <c r="D24" s="8">
        <f>AVERAGE(D23:E23)</f>
        <v>2556213500</v>
      </c>
      <c r="E24" s="6"/>
    </row>
    <row r="25" spans="1:6" ht="15.75" thickBot="1" x14ac:dyDescent="0.3">
      <c r="A25" t="s">
        <v>16</v>
      </c>
      <c r="B25" s="9">
        <f t="array" ref="B25:C25">C25:D25*(1+B21)</f>
        <v>5767979057.771987</v>
      </c>
      <c r="C25" s="9">
        <v>4386699412.1479197</v>
      </c>
      <c r="D25" s="11">
        <f>B7</f>
        <v>3336200000</v>
      </c>
      <c r="E25" s="6"/>
    </row>
    <row r="26" spans="1:6" ht="15.75" thickTop="1" x14ac:dyDescent="0.25">
      <c r="A26" s="2" t="s">
        <v>17</v>
      </c>
      <c r="B26" s="9">
        <f t="array" ref="B26:D26">B25:D25/B23:D23</f>
        <v>2.393503887994203</v>
      </c>
      <c r="C26" s="9">
        <v>1.7749141055271946</v>
      </c>
      <c r="D26" s="9">
        <v>1.3161959325829309</v>
      </c>
      <c r="E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F27" sqref="F27"/>
    </sheetView>
  </sheetViews>
  <sheetFormatPr defaultRowHeight="15" x14ac:dyDescent="0.25"/>
  <cols>
    <col min="1" max="1" width="28.42578125" customWidth="1"/>
    <col min="2" max="2" width="28.140625" customWidth="1"/>
    <col min="3" max="3" width="20" customWidth="1"/>
    <col min="4" max="4" width="19.42578125" customWidth="1"/>
    <col min="5" max="5" width="18.42578125" customWidth="1"/>
    <col min="6" max="6" width="22" customWidth="1"/>
    <col min="7" max="7" width="19" customWidth="1"/>
    <col min="8" max="8" width="18.42578125" customWidth="1"/>
    <col min="9" max="9" width="18.140625" customWidth="1"/>
    <col min="10" max="10" width="19" customWidth="1"/>
    <col min="11" max="11" width="17.85546875" customWidth="1"/>
    <col min="12" max="12" width="11.140625" customWidth="1"/>
    <col min="14" max="14" width="11" customWidth="1"/>
  </cols>
  <sheetData>
    <row r="1" spans="1:11" x14ac:dyDescent="0.25">
      <c r="B1" s="12">
        <v>42735</v>
      </c>
      <c r="C1" s="12">
        <v>42369</v>
      </c>
      <c r="D1" s="12">
        <v>42004</v>
      </c>
      <c r="E1" s="12">
        <v>41639</v>
      </c>
      <c r="F1" s="12">
        <v>41274</v>
      </c>
      <c r="G1" s="12">
        <v>40908</v>
      </c>
      <c r="H1" s="12">
        <v>40543</v>
      </c>
      <c r="I1" s="12">
        <v>40178</v>
      </c>
      <c r="J1" s="12">
        <v>39813</v>
      </c>
      <c r="K1" s="12">
        <v>39447</v>
      </c>
    </row>
    <row r="2" spans="1:11" x14ac:dyDescent="0.25">
      <c r="A2" t="s">
        <v>0</v>
      </c>
      <c r="B2" s="3">
        <v>15649100000</v>
      </c>
      <c r="C2" s="3">
        <v>15109700000</v>
      </c>
      <c r="D2" s="3">
        <v>12432800000</v>
      </c>
      <c r="E2" s="3">
        <v>11700000000</v>
      </c>
      <c r="F2" s="3">
        <v>10923600000</v>
      </c>
      <c r="G2" s="3">
        <v>9288400000</v>
      </c>
      <c r="H2" s="3">
        <v>8508600000</v>
      </c>
      <c r="I2" s="3">
        <v>7150900000</v>
      </c>
      <c r="J2" s="3">
        <v>6377400000</v>
      </c>
      <c r="K2" s="3">
        <v>5856300000</v>
      </c>
    </row>
    <row r="3" spans="1:11" x14ac:dyDescent="0.25">
      <c r="A3" t="s">
        <v>7</v>
      </c>
      <c r="B3" s="7">
        <f t="array" ref="B3:J3">(B2:J2-C2:K2)/C2:K2</f>
        <v>3.5698921884617166E-2</v>
      </c>
      <c r="C3" s="7">
        <v>0.21530950389292838</v>
      </c>
      <c r="D3" s="7">
        <v>6.263247863247863E-2</v>
      </c>
      <c r="E3" s="7">
        <v>7.1075469625398222E-2</v>
      </c>
      <c r="F3" s="7">
        <v>0.17604754317212867</v>
      </c>
      <c r="G3" s="7">
        <v>9.1648449803727994E-2</v>
      </c>
      <c r="H3" s="7">
        <v>0.18986421289627878</v>
      </c>
      <c r="I3" s="7">
        <v>0.12128767209207514</v>
      </c>
      <c r="J3" s="7">
        <v>8.898109727985247E-2</v>
      </c>
      <c r="K3" s="6"/>
    </row>
    <row r="4" spans="1:11" x14ac:dyDescent="0.25">
      <c r="A4" t="s">
        <v>26</v>
      </c>
      <c r="B4" s="9">
        <f t="array" ref="B4:K4">B2:K2/'Common Data'!B5:K5</f>
        <v>6.1738749980767178</v>
      </c>
      <c r="C4" s="9">
        <v>5.8617029613244069</v>
      </c>
      <c r="D4" s="9">
        <v>4.7269085680350447</v>
      </c>
      <c r="E4" s="9">
        <v>4.3435890296533479</v>
      </c>
      <c r="F4" s="9">
        <v>3.9602079511590302</v>
      </c>
      <c r="G4" s="9">
        <v>3.2583331579353554</v>
      </c>
      <c r="H4" s="9">
        <v>2.9065531182266766</v>
      </c>
      <c r="I4" s="9">
        <v>2.366582109236286</v>
      </c>
      <c r="J4" s="9">
        <v>2.0548163685484924</v>
      </c>
      <c r="K4" s="9">
        <v>1.840382639192234</v>
      </c>
    </row>
    <row r="5" spans="1:11" x14ac:dyDescent="0.25">
      <c r="A5" t="s">
        <v>25</v>
      </c>
      <c r="B5" s="13">
        <f t="array" ref="B5:K5">'Common Data'!B4:K4/'PS Valuation'!B4:K4</f>
        <v>5.8083456518266221</v>
      </c>
      <c r="C5" s="13">
        <v>9.9083833457977324</v>
      </c>
      <c r="D5" s="13">
        <v>8.9529973746863138</v>
      </c>
      <c r="E5" s="13">
        <v>8.5067900641025656</v>
      </c>
      <c r="F5" s="13">
        <v>8.2419914313962437</v>
      </c>
      <c r="G5" s="13">
        <v>7.0741691787606049</v>
      </c>
      <c r="H5" s="13">
        <v>7.7445685953035763</v>
      </c>
      <c r="I5" s="13">
        <v>5.3959674376651883</v>
      </c>
      <c r="J5" s="13">
        <v>5.0028801392416966</v>
      </c>
      <c r="K5" s="13">
        <v>7.0474474839062218</v>
      </c>
    </row>
    <row r="6" spans="1:1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B7" s="4"/>
      <c r="C7" s="4"/>
      <c r="D7" s="4"/>
      <c r="E7" s="4"/>
      <c r="F7" s="4"/>
      <c r="G7" s="4"/>
      <c r="H7" s="4"/>
      <c r="I7" s="4"/>
      <c r="J7" s="4"/>
    </row>
    <row r="8" spans="1:11" x14ac:dyDescent="0.25">
      <c r="A8" t="s">
        <v>30</v>
      </c>
      <c r="B8" s="13">
        <f t="array" ref="B8">MEDIAN(B5:K5)</f>
        <v>7.4093688870320911</v>
      </c>
      <c r="C8" t="s">
        <v>31</v>
      </c>
      <c r="D8">
        <v>1</v>
      </c>
      <c r="E8">
        <v>2</v>
      </c>
      <c r="F8">
        <v>3</v>
      </c>
    </row>
    <row r="9" spans="1:11" x14ac:dyDescent="0.25">
      <c r="A9" t="s">
        <v>28</v>
      </c>
      <c r="B9" s="13">
        <f t="array" ref="B9">AVERAGE(B5:K5)</f>
        <v>7.3683540702686772</v>
      </c>
      <c r="C9" t="s">
        <v>32</v>
      </c>
      <c r="D9" s="13">
        <f t="array" ref="D9:F9">B9+D8:F8*B10</f>
        <v>8.8938896235238509</v>
      </c>
      <c r="E9" s="13">
        <v>10.419425176779022</v>
      </c>
      <c r="F9" s="13">
        <v>11.944960730034197</v>
      </c>
    </row>
    <row r="10" spans="1:11" x14ac:dyDescent="0.25">
      <c r="A10" t="s">
        <v>29</v>
      </c>
      <c r="B10" s="13">
        <f>_xlfn.STDEV.P(B5:K5)</f>
        <v>1.5255355532551729</v>
      </c>
      <c r="C10" t="s">
        <v>33</v>
      </c>
      <c r="D10" s="13">
        <f t="array" ref="D10:F10">B9-D8:F8*B10</f>
        <v>5.8428185170135043</v>
      </c>
      <c r="E10" s="13">
        <v>4.3172829637583314</v>
      </c>
      <c r="F10" s="13">
        <v>2.7917474105031586</v>
      </c>
    </row>
    <row r="12" spans="1:11" x14ac:dyDescent="0.25">
      <c r="A12" t="s">
        <v>34</v>
      </c>
      <c r="B12" s="7">
        <f t="array" ref="B12">MEDIAN(B3:J3)</f>
        <v>9.1648449803727994E-2</v>
      </c>
      <c r="C12" t="s">
        <v>31</v>
      </c>
      <c r="D12">
        <v>1</v>
      </c>
      <c r="E12">
        <v>2</v>
      </c>
      <c r="F12">
        <v>3</v>
      </c>
    </row>
    <row r="13" spans="1:11" x14ac:dyDescent="0.25">
      <c r="A13" t="s">
        <v>23</v>
      </c>
      <c r="B13" s="7">
        <f>AVERAGE(B3:J3)</f>
        <v>0.11694948325327616</v>
      </c>
      <c r="C13" t="s">
        <v>35</v>
      </c>
      <c r="D13" s="7">
        <f t="array" ref="D13:F13">B13+D12:F12*B14</f>
        <v>0.17618670951375884</v>
      </c>
      <c r="E13" s="7">
        <v>0.23542393577424153</v>
      </c>
      <c r="F13" s="7">
        <v>0.2946611620347242</v>
      </c>
    </row>
    <row r="14" spans="1:11" x14ac:dyDescent="0.25">
      <c r="A14" t="s">
        <v>27</v>
      </c>
      <c r="B14" s="7">
        <f>_xlfn.STDEV.P(B3:J3)</f>
        <v>5.9237226260482681E-2</v>
      </c>
      <c r="C14" t="s">
        <v>36</v>
      </c>
      <c r="D14" s="7">
        <f t="array" ref="D14:F14">B13-D12:F12*B14</f>
        <v>5.7712256992793476E-2</v>
      </c>
      <c r="E14" s="7">
        <v>-1.5249692676892052E-3</v>
      </c>
      <c r="F14" s="7">
        <v>-6.07621955281719E-2</v>
      </c>
    </row>
    <row r="16" spans="1:11" ht="15.75" thickBot="1" x14ac:dyDescent="0.3">
      <c r="A16" t="s">
        <v>37</v>
      </c>
      <c r="B16" s="17">
        <f>B12</f>
        <v>9.1648449803727994E-2</v>
      </c>
      <c r="F16" t="s">
        <v>38</v>
      </c>
    </row>
    <row r="17" spans="1:8" ht="15.75" thickTop="1" x14ac:dyDescent="0.25">
      <c r="A17" s="2"/>
      <c r="B17" s="2">
        <v>2018</v>
      </c>
      <c r="C17" s="2">
        <v>2017</v>
      </c>
      <c r="D17">
        <v>2016</v>
      </c>
      <c r="F17">
        <v>2018</v>
      </c>
      <c r="G17">
        <v>2017</v>
      </c>
      <c r="H17">
        <v>2016</v>
      </c>
    </row>
    <row r="18" spans="1:8" ht="15.75" thickBot="1" x14ac:dyDescent="0.3">
      <c r="A18" t="s">
        <v>1</v>
      </c>
      <c r="B18" s="15">
        <f t="array" ref="B18:D18">B9</f>
        <v>7.3683540702686772</v>
      </c>
      <c r="C18" s="15">
        <v>7.3683540702686772</v>
      </c>
      <c r="D18" s="15">
        <v>7.3683540702686772</v>
      </c>
      <c r="F18" s="15">
        <f t="array" ref="F18:H18">B9</f>
        <v>7.3683540702686772</v>
      </c>
      <c r="G18" s="15">
        <v>7.3683540702686772</v>
      </c>
      <c r="H18" s="15">
        <v>7.3683540702686772</v>
      </c>
    </row>
    <row r="19" spans="1:8" ht="16.5" thickTop="1" thickBot="1" x14ac:dyDescent="0.3">
      <c r="A19" t="s">
        <v>0</v>
      </c>
      <c r="B19" s="9">
        <f t="array" ref="B19:C19">C19:D19*(1+B16)</f>
        <v>18648975162.352348</v>
      </c>
      <c r="C19" s="9">
        <v>17083315755.823521</v>
      </c>
      <c r="D19" s="9">
        <f>B2</f>
        <v>15649100000</v>
      </c>
      <c r="F19" s="3">
        <v>17340000000</v>
      </c>
      <c r="G19" s="3">
        <v>16570000000</v>
      </c>
      <c r="H19" s="14">
        <f>B2</f>
        <v>15649100000</v>
      </c>
    </row>
    <row r="20" spans="1:8" ht="15.75" thickTop="1" x14ac:dyDescent="0.25">
      <c r="A20" t="s">
        <v>2</v>
      </c>
      <c r="B20" s="9">
        <f t="array" ref="B20:D20">B19:D19/'Common Data'!B24:D24</f>
        <v>7.6409136481961495</v>
      </c>
      <c r="C20" s="9">
        <v>6.8248245508696419</v>
      </c>
      <c r="D20" s="9">
        <v>6.1219847246718633</v>
      </c>
      <c r="F20" s="9">
        <f t="array" ref="F20:H20">F19:H19/'Common Data'!B24:D24</f>
        <v>7.1045964459855471</v>
      </c>
      <c r="G20" s="9">
        <v>6.6197537073187736</v>
      </c>
      <c r="H20" s="9">
        <v>6.1219847246718633</v>
      </c>
    </row>
    <row r="21" spans="1:8" x14ac:dyDescent="0.25">
      <c r="A21" t="s">
        <v>11</v>
      </c>
      <c r="B21" s="9">
        <f t="array" ref="B21:D21">B18:D18*B20:D20</f>
        <v>56.300957180257583</v>
      </c>
      <c r="C21" s="9">
        <v>50.287723758269919</v>
      </c>
      <c r="D21" s="9">
        <v>45.108951064158589</v>
      </c>
      <c r="F21" s="9">
        <f t="array" ref="F21:H21">F18:H18*F20:H20</f>
        <v>52.349182140393985</v>
      </c>
      <c r="G21" s="9">
        <v>48.776689173498454</v>
      </c>
      <c r="H21" s="9">
        <v>45.108951064158589</v>
      </c>
    </row>
    <row r="22" spans="1:8" x14ac:dyDescent="0.25">
      <c r="A22" t="s">
        <v>18</v>
      </c>
      <c r="B22" s="9">
        <f t="array" ref="B22:D22">B21:D21+'Common Data'!B26:D26</f>
        <v>58.694461068251783</v>
      </c>
      <c r="C22" s="9">
        <v>52.062637863797114</v>
      </c>
      <c r="D22" s="9">
        <v>46.425146996741518</v>
      </c>
      <c r="F22" s="9">
        <f t="array" ref="F22:H22">F21:H21+'Common Data'!B26:D26</f>
        <v>54.742686028388185</v>
      </c>
      <c r="G22" s="9">
        <v>50.551603279025649</v>
      </c>
      <c r="H22" s="9">
        <v>46.425146996741518</v>
      </c>
    </row>
    <row r="23" spans="1:8" x14ac:dyDescent="0.25">
      <c r="A23" t="s">
        <v>57</v>
      </c>
      <c r="B23" s="7">
        <f t="array" ref="B23:C23">(B22:C22-C22:D22)/C22:D22</f>
        <v>0.12738162099670042</v>
      </c>
      <c r="C23" s="7">
        <v>0.12143183666066325</v>
      </c>
      <c r="D23" s="6"/>
      <c r="F23" s="7">
        <f t="array" ref="F23:G23">(F22:G22-G22:H22)/G22:H22</f>
        <v>8.2907019313103708E-2</v>
      </c>
      <c r="G23" s="7">
        <v>8.8884075748295599E-2</v>
      </c>
      <c r="H23" s="6"/>
    </row>
    <row r="24" spans="1:8" x14ac:dyDescent="0.25">
      <c r="A24" t="s">
        <v>58</v>
      </c>
      <c r="B24" s="7">
        <f t="array" ref="B24:C24">(B22:C22-D24)/D24</f>
        <v>0.7263076784779936</v>
      </c>
      <c r="C24" s="7">
        <v>0.53125405481756216</v>
      </c>
      <c r="D24" s="3">
        <f t="array" ref="D24">'Common Data'!B1</f>
        <v>34</v>
      </c>
      <c r="F24" s="7">
        <f t="array" ref="F24:G24">(F22:G22-H24)/H24</f>
        <v>0.61007900083494659</v>
      </c>
      <c r="G24" s="7">
        <v>0.48681186114781322</v>
      </c>
      <c r="H24" s="3">
        <f t="array" ref="H24">'Common Data'!B1</f>
        <v>34</v>
      </c>
    </row>
    <row r="25" spans="1:8" x14ac:dyDescent="0.25">
      <c r="A25" s="1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2" sqref="C2"/>
    </sheetView>
  </sheetViews>
  <sheetFormatPr defaultRowHeight="15" x14ac:dyDescent="0.25"/>
  <cols>
    <col min="1" max="1" width="29.28515625" customWidth="1"/>
    <col min="2" max="2" width="17.85546875" customWidth="1"/>
    <col min="3" max="3" width="17.42578125" customWidth="1"/>
    <col min="4" max="4" width="17" customWidth="1"/>
    <col min="5" max="5" width="18.42578125" customWidth="1"/>
    <col min="6" max="6" width="18.5703125" customWidth="1"/>
    <col min="7" max="7" width="20.28515625" customWidth="1"/>
    <col min="8" max="8" width="17" customWidth="1"/>
    <col min="9" max="9" width="18.42578125" customWidth="1"/>
    <col min="10" max="10" width="16.85546875" customWidth="1"/>
    <col min="11" max="11" width="17" customWidth="1"/>
  </cols>
  <sheetData>
    <row r="1" spans="1:11" x14ac:dyDescent="0.25">
      <c r="B1" s="12">
        <v>42735</v>
      </c>
      <c r="C1" s="12">
        <v>42369</v>
      </c>
      <c r="D1" s="12">
        <v>42004</v>
      </c>
      <c r="E1" s="12">
        <v>41639</v>
      </c>
      <c r="F1" s="12">
        <v>41274</v>
      </c>
      <c r="G1" s="12">
        <v>40908</v>
      </c>
      <c r="H1" s="12">
        <v>40543</v>
      </c>
      <c r="I1" s="12">
        <v>40178</v>
      </c>
      <c r="J1" s="12">
        <v>39813</v>
      </c>
      <c r="K1" s="12">
        <v>39447</v>
      </c>
    </row>
    <row r="2" spans="1:11" x14ac:dyDescent="0.25">
      <c r="A2" t="s">
        <v>21</v>
      </c>
      <c r="B2" s="3">
        <v>5309500000</v>
      </c>
      <c r="C2" s="3">
        <v>4880400000</v>
      </c>
      <c r="D2" s="3">
        <v>3707340000</v>
      </c>
      <c r="E2" s="3">
        <v>3525760000</v>
      </c>
      <c r="F2" s="3">
        <v>3000460000</v>
      </c>
      <c r="G2" s="3">
        <v>2393570000</v>
      </c>
      <c r="H2" s="3">
        <v>2016410000</v>
      </c>
      <c r="I2" s="3">
        <v>1507510000</v>
      </c>
      <c r="J2" s="3">
        <v>1350290000</v>
      </c>
      <c r="K2" s="3">
        <v>1193070000</v>
      </c>
    </row>
    <row r="3" spans="1:11" x14ac:dyDescent="0.25">
      <c r="A3" t="s">
        <v>22</v>
      </c>
      <c r="B3" s="7">
        <f t="array" ref="B3:J3">(B2:J2-C2:K2)/C2:K2</f>
        <v>8.7923121055651171E-2</v>
      </c>
      <c r="C3" s="7">
        <v>0.31641554321966692</v>
      </c>
      <c r="D3" s="7">
        <v>5.150095298602287E-2</v>
      </c>
      <c r="E3" s="7">
        <v>0.17507315544949775</v>
      </c>
      <c r="F3" s="7">
        <v>0.25355013640712409</v>
      </c>
      <c r="G3" s="7">
        <v>0.18704529336791625</v>
      </c>
      <c r="H3" s="7">
        <v>0.33757653348899841</v>
      </c>
      <c r="I3" s="7">
        <v>0.11643424745795347</v>
      </c>
      <c r="J3" s="7">
        <v>0.13177768278474858</v>
      </c>
      <c r="K3" s="6"/>
    </row>
    <row r="4" spans="1:11" x14ac:dyDescent="0.25">
      <c r="A4" t="s">
        <v>5</v>
      </c>
      <c r="B4" s="3">
        <v>2.09</v>
      </c>
      <c r="C4" s="3">
        <v>1.89</v>
      </c>
      <c r="D4" s="3">
        <v>1.41</v>
      </c>
      <c r="E4" s="3">
        <v>1.3</v>
      </c>
      <c r="F4" s="3">
        <v>1.0900000000000001</v>
      </c>
      <c r="G4" s="3">
        <v>0.84</v>
      </c>
      <c r="H4" s="3">
        <v>3.44</v>
      </c>
      <c r="I4" s="3">
        <v>2.4900000000000002</v>
      </c>
      <c r="J4" s="3">
        <v>2.1800000000000002</v>
      </c>
      <c r="K4" s="3">
        <v>1.88</v>
      </c>
    </row>
    <row r="5" spans="1:11" ht="30" x14ac:dyDescent="0.25">
      <c r="A5" s="20" t="s">
        <v>46</v>
      </c>
      <c r="B5" s="9">
        <f t="array" ref="B5:K5">B2:K2/'Common Data'!B5:K5</f>
        <v>2.0947012481413201</v>
      </c>
      <c r="C5" s="9">
        <v>1.8933172155931377</v>
      </c>
      <c r="D5" s="9">
        <v>1.4095181464045945</v>
      </c>
      <c r="E5" s="9">
        <v>1.3089275604436401</v>
      </c>
      <c r="F5" s="9">
        <v>1.0877774313536401</v>
      </c>
      <c r="G5" s="9">
        <v>0.83965467646088976</v>
      </c>
      <c r="H5" s="9">
        <v>0.68880929566831828</v>
      </c>
      <c r="I5" s="9">
        <v>0.49890869617737532</v>
      </c>
      <c r="J5" s="9">
        <v>0.43506726789715927</v>
      </c>
      <c r="K5" s="9">
        <v>0.37493047066254781</v>
      </c>
    </row>
    <row r="6" spans="1:11" x14ac:dyDescent="0.25">
      <c r="A6" t="s">
        <v>9</v>
      </c>
      <c r="B6" s="7">
        <f t="array" ref="B6:J6">(B5:J5-C5:K5)/C5:K5</f>
        <v>0.10636571140303759</v>
      </c>
      <c r="C6" s="7">
        <v>0.34323720515597483</v>
      </c>
      <c r="D6" s="7">
        <v>7.6849620254661619E-2</v>
      </c>
      <c r="E6" s="7">
        <v>0.20330457565643623</v>
      </c>
      <c r="F6" s="7">
        <v>0.29550571425217054</v>
      </c>
      <c r="G6" s="7">
        <v>0.21899440344546095</v>
      </c>
      <c r="H6" s="7">
        <v>0.38063196922794917</v>
      </c>
      <c r="I6" s="7">
        <v>0.14673921251025213</v>
      </c>
      <c r="J6" s="7">
        <v>0.16039453162700384</v>
      </c>
      <c r="K6" s="6"/>
    </row>
    <row r="7" spans="1:11" x14ac:dyDescent="0.25">
      <c r="A7" t="s">
        <v>47</v>
      </c>
      <c r="B7" s="13">
        <f t="array" ref="B7:K7">'Common Data'!B4:K4/'PE Valuation'!B5:K5</f>
        <v>17.119386371598079</v>
      </c>
      <c r="C7" s="13">
        <v>30.676317482173591</v>
      </c>
      <c r="D7" s="13">
        <v>30.024444955143043</v>
      </c>
      <c r="E7" s="13">
        <v>28.229216892244509</v>
      </c>
      <c r="F7" s="13">
        <v>30.00613825880032</v>
      </c>
      <c r="G7" s="13">
        <v>27.451761594605546</v>
      </c>
      <c r="H7" s="13">
        <v>32.679582203024189</v>
      </c>
      <c r="I7" s="13">
        <v>25.59586573223395</v>
      </c>
      <c r="J7" s="13">
        <v>23.628530019477296</v>
      </c>
      <c r="K7" s="13">
        <v>34.593080623936565</v>
      </c>
    </row>
    <row r="9" spans="1:11" x14ac:dyDescent="0.25">
      <c r="A9" t="s">
        <v>48</v>
      </c>
      <c r="B9" s="13">
        <f t="array" ref="B9">MEDIAN(B7:K7)</f>
        <v>29.117677575522414</v>
      </c>
      <c r="C9" t="s">
        <v>31</v>
      </c>
      <c r="D9">
        <v>1</v>
      </c>
      <c r="E9">
        <v>2</v>
      </c>
      <c r="F9">
        <v>3</v>
      </c>
    </row>
    <row r="10" spans="1:11" x14ac:dyDescent="0.25">
      <c r="A10" t="s">
        <v>49</v>
      </c>
      <c r="B10" s="13">
        <f t="array" ref="B10">AVERAGE(B7:K7)</f>
        <v>28.000432413323711</v>
      </c>
      <c r="C10" t="s">
        <v>35</v>
      </c>
      <c r="D10" s="13">
        <f t="array" ref="D10:F10">B10+D9:F9*B11</f>
        <v>32.736288336231986</v>
      </c>
      <c r="E10" s="13">
        <v>37.472144259140265</v>
      </c>
      <c r="F10" s="13">
        <v>42.208000182048544</v>
      </c>
    </row>
    <row r="11" spans="1:11" x14ac:dyDescent="0.25">
      <c r="A11" t="s">
        <v>50</v>
      </c>
      <c r="B11" s="13">
        <f t="array" ref="B11">_xlfn.STDEV.P(B7:K7)</f>
        <v>4.7358559229082777</v>
      </c>
      <c r="C11" t="s">
        <v>36</v>
      </c>
      <c r="D11" s="13">
        <f t="array" ref="D11:F11">B10-D9:F9*B11</f>
        <v>23.264576490415433</v>
      </c>
      <c r="E11" s="13">
        <v>18.528720567507158</v>
      </c>
      <c r="F11" s="13">
        <v>13.792864644598879</v>
      </c>
    </row>
    <row r="13" spans="1:11" x14ac:dyDescent="0.25">
      <c r="A13" t="s">
        <v>51</v>
      </c>
      <c r="B13" s="7">
        <f t="array" ref="B13">MEDIAN(B3:J3)</f>
        <v>0.17507315544949775</v>
      </c>
      <c r="C13" t="s">
        <v>31</v>
      </c>
      <c r="D13">
        <v>1</v>
      </c>
      <c r="E13">
        <v>2</v>
      </c>
      <c r="F13">
        <v>3</v>
      </c>
    </row>
    <row r="14" spans="1:11" x14ac:dyDescent="0.25">
      <c r="A14" t="s">
        <v>52</v>
      </c>
      <c r="B14" s="7">
        <f t="array" ref="B14">AVERAGE(B3:J3)</f>
        <v>0.18414407402417549</v>
      </c>
      <c r="C14" t="s">
        <v>35</v>
      </c>
      <c r="D14" s="7">
        <f t="array" ref="D14:F14">B14+D13:F13*B15</f>
        <v>0.27849842398426222</v>
      </c>
      <c r="E14" s="7">
        <v>0.37285277394434896</v>
      </c>
      <c r="F14" s="7">
        <v>0.46720712390443569</v>
      </c>
    </row>
    <row r="15" spans="1:11" x14ac:dyDescent="0.25">
      <c r="A15" t="s">
        <v>53</v>
      </c>
      <c r="B15" s="7">
        <f t="array" ref="B15">_xlfn.STDEV.P(B3:J3)</f>
        <v>9.4354349960086736E-2</v>
      </c>
      <c r="C15" t="s">
        <v>36</v>
      </c>
      <c r="D15" s="7">
        <f t="array" ref="D15:F15">B14-D13:F13*B15</f>
        <v>8.978972406408875E-2</v>
      </c>
      <c r="E15" s="7">
        <v>-4.5646258959979868E-3</v>
      </c>
      <c r="F15" s="7">
        <v>-9.8918975856084723E-2</v>
      </c>
    </row>
    <row r="17" spans="1:8" ht="15.75" thickBot="1" x14ac:dyDescent="0.3">
      <c r="A17" t="s">
        <v>54</v>
      </c>
      <c r="B17" s="17">
        <f>B14</f>
        <v>0.18414407402417549</v>
      </c>
      <c r="F17" t="s">
        <v>56</v>
      </c>
    </row>
    <row r="18" spans="1:8" ht="15.75" thickTop="1" x14ac:dyDescent="0.25">
      <c r="A18" s="2"/>
      <c r="B18" s="2">
        <v>2018</v>
      </c>
      <c r="C18" s="2">
        <v>2017</v>
      </c>
      <c r="D18">
        <v>2016</v>
      </c>
      <c r="F18" s="2">
        <v>2018</v>
      </c>
      <c r="G18" s="2">
        <v>2017</v>
      </c>
      <c r="H18">
        <v>2016</v>
      </c>
    </row>
    <row r="19" spans="1:8" ht="15.75" thickBot="1" x14ac:dyDescent="0.3">
      <c r="A19" t="s">
        <v>47</v>
      </c>
      <c r="B19" s="15">
        <f t="array" ref="B19:D19">B10</f>
        <v>28.000432413323711</v>
      </c>
      <c r="C19" s="15">
        <v>28.000432413323711</v>
      </c>
      <c r="D19" s="15">
        <v>28.000432413323711</v>
      </c>
      <c r="F19" s="15">
        <f t="array" ref="F19:H19">B10</f>
        <v>28.000432413323711</v>
      </c>
      <c r="G19" s="15">
        <v>28.000432413323711</v>
      </c>
      <c r="H19" s="15">
        <v>28.000432413323711</v>
      </c>
    </row>
    <row r="20" spans="1:8" ht="16.5" thickTop="1" thickBot="1" x14ac:dyDescent="0.3">
      <c r="A20" t="s">
        <v>21</v>
      </c>
      <c r="B20" s="9">
        <f t="array" ref="B20:C20">C20:D20*(1+B17)</f>
        <v>7444965969.9332743</v>
      </c>
      <c r="C20" s="9">
        <v>6287212961.0313597</v>
      </c>
      <c r="D20" s="9">
        <f>B2</f>
        <v>5309500000</v>
      </c>
      <c r="H20" s="14">
        <f>B2</f>
        <v>5309500000</v>
      </c>
    </row>
    <row r="21" spans="1:8" ht="16.5" thickTop="1" thickBot="1" x14ac:dyDescent="0.3">
      <c r="A21" t="s">
        <v>55</v>
      </c>
      <c r="B21" s="9">
        <f t="array" ref="B21:D21">B20:D20/'Common Data'!B24:D24</f>
        <v>3.0503736315150678</v>
      </c>
      <c r="C21" s="9">
        <v>2.5117562647851535</v>
      </c>
      <c r="D21" s="9">
        <v>2.07709567295533</v>
      </c>
      <c r="F21" s="3">
        <v>2.37</v>
      </c>
      <c r="G21" s="3">
        <v>2.15</v>
      </c>
      <c r="H21" s="14">
        <f>B4</f>
        <v>2.09</v>
      </c>
    </row>
    <row r="22" spans="1:8" ht="15.75" thickTop="1" x14ac:dyDescent="0.25">
      <c r="A22" t="s">
        <v>11</v>
      </c>
      <c r="B22" s="9">
        <f t="array" ref="B22:D22">B19:D19*B21:D21</f>
        <v>85.411780704622458</v>
      </c>
      <c r="C22" s="9">
        <v>70.330261530859104</v>
      </c>
      <c r="D22" s="9">
        <v>58.159577006592848</v>
      </c>
      <c r="F22" s="9">
        <f t="array" ref="F22:H22">F19:H19*F21:H21</f>
        <v>66.361024819577196</v>
      </c>
      <c r="G22" s="9">
        <v>60.200929688645978</v>
      </c>
      <c r="H22" s="9">
        <v>58.520903743846553</v>
      </c>
    </row>
    <row r="23" spans="1:8" x14ac:dyDescent="0.25">
      <c r="A23" t="s">
        <v>18</v>
      </c>
      <c r="B23" s="9">
        <f t="array" ref="B23:D23">B22:D22+'Common Data'!B26:D26</f>
        <v>87.805284592616658</v>
      </c>
      <c r="C23" s="9">
        <v>72.105175636386292</v>
      </c>
      <c r="D23" s="9">
        <v>59.475772939175776</v>
      </c>
      <c r="F23" s="9">
        <f t="array" ref="F23:H23">F22:H22+'Common Data'!B26:D26</f>
        <v>68.754528707571396</v>
      </c>
      <c r="G23" s="9">
        <v>61.975843794173173</v>
      </c>
      <c r="H23" s="9">
        <v>59.837099676429482</v>
      </c>
    </row>
    <row r="24" spans="1:8" x14ac:dyDescent="0.25">
      <c r="A24" t="s">
        <v>57</v>
      </c>
      <c r="B24" s="7">
        <f t="array" ref="B24:C24">(B23:C23-C23:D23)/C23:D23</f>
        <v>0.2177390016412033</v>
      </c>
      <c r="C24" s="7">
        <v>0.21234533110021547</v>
      </c>
      <c r="D24" s="6"/>
      <c r="F24" s="7">
        <f t="array" ref="F24:G24">(F23:G23-G23:H23)/G23:H23</f>
        <v>0.10937624239390412</v>
      </c>
      <c r="G24" s="7">
        <v>3.5742777128386909E-2</v>
      </c>
      <c r="H24" s="6"/>
    </row>
    <row r="25" spans="1:8" x14ac:dyDescent="0.25">
      <c r="A25" t="s">
        <v>58</v>
      </c>
      <c r="B25" s="7">
        <f t="array" ref="B25:C25">(B23:C23-D25)/D25</f>
        <v>1.5825083703710783</v>
      </c>
      <c r="C25" s="7">
        <v>1.1207404598937145</v>
      </c>
      <c r="D25" s="3">
        <f t="array" ref="D25">'Common Data'!B1</f>
        <v>34</v>
      </c>
      <c r="F25" s="7">
        <f t="array" ref="F25:G25">(F23:G23-H25)/H25</f>
        <v>1.0221920208109234</v>
      </c>
      <c r="G25" s="7">
        <v>0.8228189351227404</v>
      </c>
      <c r="H25" s="3">
        <f t="array" ref="H25">'Common Data'!B1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7" sqref="B7"/>
    </sheetView>
  </sheetViews>
  <sheetFormatPr defaultRowHeight="15" x14ac:dyDescent="0.25"/>
  <cols>
    <col min="1" max="1" width="22.140625" customWidth="1"/>
    <col min="2" max="2" width="26.140625" customWidth="1"/>
    <col min="3" max="3" width="17.42578125" customWidth="1"/>
    <col min="4" max="4" width="17.7109375" customWidth="1"/>
    <col min="5" max="6" width="17.140625" customWidth="1"/>
    <col min="7" max="7" width="16.42578125" customWidth="1"/>
    <col min="8" max="8" width="18" customWidth="1"/>
    <col min="9" max="9" width="16.7109375" customWidth="1"/>
    <col min="10" max="10" width="17.140625" customWidth="1"/>
    <col min="11" max="11" width="16.42578125" customWidth="1"/>
  </cols>
  <sheetData>
    <row r="1" spans="1:11" x14ac:dyDescent="0.25">
      <c r="B1" s="12">
        <v>42735</v>
      </c>
      <c r="C1" s="12">
        <v>42369</v>
      </c>
      <c r="D1" s="12">
        <v>42004</v>
      </c>
      <c r="E1" s="12">
        <v>41639</v>
      </c>
      <c r="F1" s="12">
        <v>41274</v>
      </c>
      <c r="G1" s="12">
        <v>40908</v>
      </c>
      <c r="H1" s="12">
        <v>40543</v>
      </c>
      <c r="I1" s="12">
        <v>40178</v>
      </c>
      <c r="J1" s="12">
        <v>39813</v>
      </c>
      <c r="K1" s="12">
        <v>39447</v>
      </c>
    </row>
    <row r="2" spans="1:11" x14ac:dyDescent="0.25">
      <c r="A2" t="s">
        <v>59</v>
      </c>
      <c r="B2" s="3">
        <v>5598710000</v>
      </c>
      <c r="C2" s="3">
        <v>4791050000</v>
      </c>
      <c r="D2" s="3">
        <v>3825420000</v>
      </c>
      <c r="E2" s="3">
        <v>3130100000</v>
      </c>
      <c r="F2" s="3">
        <v>2610280000</v>
      </c>
      <c r="G2" s="3">
        <v>2535660000</v>
      </c>
      <c r="H2" s="3">
        <v>2381810000</v>
      </c>
      <c r="I2" s="3">
        <v>1726470000</v>
      </c>
      <c r="J2" s="3">
        <v>1542100000</v>
      </c>
      <c r="K2" s="3">
        <v>1261670000</v>
      </c>
    </row>
    <row r="3" spans="1:11" x14ac:dyDescent="0.25">
      <c r="A3" t="s">
        <v>60</v>
      </c>
      <c r="B3" s="7">
        <f t="array" ref="B3:J3">(B2:J2-C2:K2)/C2:K2</f>
        <v>0.1685768255392868</v>
      </c>
      <c r="C3" s="7">
        <v>0.25242457037397203</v>
      </c>
      <c r="D3" s="7">
        <v>0.22213986773585509</v>
      </c>
      <c r="E3" s="7">
        <v>0.19914338691634614</v>
      </c>
      <c r="F3" s="7">
        <v>2.9428235646734972E-2</v>
      </c>
      <c r="G3" s="7">
        <v>6.4593733337251921E-2</v>
      </c>
      <c r="H3" s="7">
        <v>0.37958377498595403</v>
      </c>
      <c r="I3" s="7">
        <v>0.11955774593087348</v>
      </c>
      <c r="J3" s="7">
        <v>0.22226889757226534</v>
      </c>
      <c r="K3" s="22"/>
    </row>
    <row r="5" spans="1:11" x14ac:dyDescent="0.25">
      <c r="A5" t="s">
        <v>61</v>
      </c>
      <c r="B5" s="7">
        <f>MEDIAN(B3:J3)</f>
        <v>0.19914338691634614</v>
      </c>
    </row>
    <row r="6" spans="1:11" x14ac:dyDescent="0.25">
      <c r="A6" t="s">
        <v>62</v>
      </c>
      <c r="B6" s="7">
        <f>AVERAGE(B3:J3)</f>
        <v>0.18419078200428218</v>
      </c>
    </row>
    <row r="7" spans="1:11" x14ac:dyDescent="0.25">
      <c r="A7" t="s">
        <v>76</v>
      </c>
      <c r="B7" s="5">
        <v>0.01</v>
      </c>
    </row>
    <row r="9" spans="1:11" x14ac:dyDescent="0.25">
      <c r="A9" s="1"/>
      <c r="B9" t="s">
        <v>63</v>
      </c>
      <c r="C9" t="s">
        <v>64</v>
      </c>
      <c r="E9" s="1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11" x14ac:dyDescent="0.25">
      <c r="A10" t="s">
        <v>72</v>
      </c>
      <c r="B10" s="23">
        <v>1</v>
      </c>
      <c r="C10" s="5">
        <v>4.19E-2</v>
      </c>
      <c r="D10" s="5"/>
      <c r="F10">
        <v>0.49</v>
      </c>
      <c r="G10" s="5">
        <v>1.01E-2</v>
      </c>
      <c r="H10" s="5">
        <v>7.4999999999999997E-2</v>
      </c>
      <c r="I10" s="5">
        <f>G10+F10*(H10-G10)</f>
        <v>4.1900999999999994E-2</v>
      </c>
    </row>
    <row r="11" spans="1:11" x14ac:dyDescent="0.25">
      <c r="A11" t="s">
        <v>65</v>
      </c>
      <c r="B11" s="5">
        <v>0</v>
      </c>
      <c r="C11" s="5">
        <v>0</v>
      </c>
    </row>
    <row r="12" spans="1:11" x14ac:dyDescent="0.25">
      <c r="A12" t="s">
        <v>66</v>
      </c>
      <c r="B12" s="7">
        <f t="array" ref="B12">B10*C10 +B11*C11</f>
        <v>4.19E-2</v>
      </c>
    </row>
    <row r="13" spans="1:11" x14ac:dyDescent="0.25">
      <c r="B13" s="5"/>
    </row>
    <row r="14" spans="1:11" x14ac:dyDescent="0.25">
      <c r="A14" s="1"/>
      <c r="B14" s="24">
        <v>44196</v>
      </c>
      <c r="C14" s="12">
        <v>43830</v>
      </c>
      <c r="D14" s="12">
        <v>43465</v>
      </c>
      <c r="E14" s="12">
        <v>43100</v>
      </c>
      <c r="F14" s="12">
        <v>42735</v>
      </c>
    </row>
    <row r="15" spans="1:11" x14ac:dyDescent="0.25">
      <c r="A15" s="2" t="s">
        <v>74</v>
      </c>
      <c r="B15" s="2">
        <v>4</v>
      </c>
      <c r="C15" s="4">
        <v>3</v>
      </c>
      <c r="D15" s="4">
        <v>2</v>
      </c>
      <c r="E15" s="4">
        <v>1</v>
      </c>
      <c r="F15" s="4">
        <v>0</v>
      </c>
    </row>
    <row r="16" spans="1:11" ht="15.75" thickBot="1" x14ac:dyDescent="0.3">
      <c r="A16" t="s">
        <v>59</v>
      </c>
      <c r="B16" s="9">
        <f t="array" ref="B16:E16">C16:F16*(1+B6)</f>
        <v>11009679515.130329</v>
      </c>
      <c r="C16" s="9">
        <v>9297217713.9363308</v>
      </c>
      <c r="D16" s="9">
        <v>7851114748.7573586</v>
      </c>
      <c r="E16" s="9">
        <v>6629940773.1151953</v>
      </c>
      <c r="F16" s="14">
        <f>B2</f>
        <v>5598710000</v>
      </c>
    </row>
    <row r="17" spans="1:6" ht="15.75" thickTop="1" x14ac:dyDescent="0.25">
      <c r="A17" t="s">
        <v>73</v>
      </c>
      <c r="B17" s="6"/>
      <c r="C17" s="9">
        <f t="array" ref="C17:E17">C16:E16/(1+B12)^C15:E15</f>
        <v>8220058094.8761215</v>
      </c>
      <c r="D17" s="9">
        <v>7232346898.15417</v>
      </c>
      <c r="E17" s="9">
        <v>6363317759.0125685</v>
      </c>
      <c r="F17" s="6"/>
    </row>
    <row r="18" spans="1:6" x14ac:dyDescent="0.25">
      <c r="A18" t="s">
        <v>75</v>
      </c>
      <c r="B18" s="9">
        <f t="array" ref="B18">B16/(B12-B7)</f>
        <v>345131019283.08246</v>
      </c>
    </row>
    <row r="19" spans="1:6" x14ac:dyDescent="0.25">
      <c r="A19" t="s">
        <v>78</v>
      </c>
      <c r="B19" s="9">
        <f t="array" ref="B19">B18/(1+B12)^B15</f>
        <v>292873341279.14929</v>
      </c>
    </row>
    <row r="20" spans="1:6" x14ac:dyDescent="0.25">
      <c r="A20" t="s">
        <v>77</v>
      </c>
      <c r="B20" s="9">
        <f t="array" ref="B20">SUM(B19,C17:E17)</f>
        <v>314689064031.19214</v>
      </c>
    </row>
    <row r="21" spans="1:6" x14ac:dyDescent="0.25">
      <c r="A21" t="s">
        <v>79</v>
      </c>
      <c r="B21" s="9">
        <f t="array" ref="B21">B20/'Common Data'!B5</f>
        <v>124.1509699976574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Data</vt:lpstr>
      <vt:lpstr>PS Valuation</vt:lpstr>
      <vt:lpstr>PE Valuation</vt:lpstr>
      <vt:lpstr>DDM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nhand</dc:creator>
  <cp:lastModifiedBy>nhand</cp:lastModifiedBy>
  <dcterms:created xsi:type="dcterms:W3CDTF">2017-02-13T17:37:26Z</dcterms:created>
  <dcterms:modified xsi:type="dcterms:W3CDTF">2017-03-20T19:58:06Z</dcterms:modified>
</cp:coreProperties>
</file>