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\7.CV\1. Application 2025\New folder\Edinburgh analysis\"/>
    </mc:Choice>
  </mc:AlternateContent>
  <bookViews>
    <workbookView xWindow="0" yWindow="0" windowWidth="23040" windowHeight="9072" firstSheet="1" activeTab="5"/>
  </bookViews>
  <sheets>
    <sheet name="Equity valuation" sheetId="2" r:id="rId1"/>
    <sheet name="Cost of Equity" sheetId="3" r:id="rId2"/>
    <sheet name="Debt Capital" sheetId="9" r:id="rId3"/>
    <sheet name="WACC" sheetId="4" r:id="rId4"/>
    <sheet name="Expansion Project" sheetId="5" r:id="rId5"/>
    <sheet name="Investment Appraisal" sheetId="6" r:id="rId6"/>
    <sheet name="Optimal capital with tax" sheetId="10" r:id="rId7"/>
    <sheet name="Optimal dividend policy" sheetId="11" r:id="rId8"/>
  </sheets>
  <definedNames>
    <definedName name="_xlnm.Print_Area" localSheetId="1">'Cost of Equity'!$A$1:$G$31</definedName>
    <definedName name="_xlnm.Print_Area" localSheetId="2">'Debt Capital'!$B$2:$F$18</definedName>
    <definedName name="_xlnm.Print_Area" localSheetId="0">'Equity valuation'!$A$1:$J$39</definedName>
    <definedName name="_xlnm.Print_Area" localSheetId="4">'Expansion Project'!$B$2:$N$5</definedName>
    <definedName name="_xlnm.Print_Area" localSheetId="5">'Investment Appraisal'!$B$1:$J$96</definedName>
    <definedName name="_xlnm.Print_Area" localSheetId="6">'Optimal capital with tax'!$B$7:$P$37</definedName>
    <definedName name="_xlnm.Print_Area" localSheetId="7">'Optimal dividend policy'!$B$2:$F$36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9" l="1"/>
  <c r="C13" i="9"/>
  <c r="F27" i="9"/>
  <c r="C11" i="4" l="1"/>
  <c r="F22" i="9"/>
  <c r="D8" i="11" l="1"/>
  <c r="C7" i="11"/>
  <c r="J35" i="10"/>
  <c r="F10" i="10"/>
  <c r="D9" i="11" l="1"/>
  <c r="D5" i="10"/>
  <c r="J14" i="10" s="1"/>
  <c r="D4" i="10"/>
  <c r="G9" i="11"/>
  <c r="F9" i="11"/>
  <c r="E9" i="11"/>
  <c r="G8" i="11"/>
  <c r="F8" i="11"/>
  <c r="E8" i="11"/>
  <c r="G7" i="11"/>
  <c r="F7" i="11"/>
  <c r="E7" i="11"/>
  <c r="D7" i="11"/>
  <c r="H23" i="10"/>
  <c r="J25" i="10" s="1"/>
  <c r="H31" i="10" l="1"/>
  <c r="D66" i="6" l="1"/>
  <c r="F59" i="6"/>
  <c r="D57" i="6"/>
  <c r="D48" i="6"/>
  <c r="D45" i="6"/>
  <c r="E37" i="6"/>
  <c r="E19" i="6"/>
  <c r="E16" i="6"/>
  <c r="F61" i="6" s="1"/>
  <c r="D5" i="5"/>
  <c r="F25" i="9" l="1"/>
  <c r="F21" i="9"/>
  <c r="C4" i="10"/>
  <c r="D10" i="10" s="1"/>
  <c r="F20" i="9"/>
  <c r="F18" i="9" s="1"/>
  <c r="E11" i="4" l="1"/>
  <c r="C13" i="4"/>
  <c r="N10" i="10"/>
  <c r="D12" i="10"/>
  <c r="F23" i="10"/>
  <c r="H25" i="10"/>
  <c r="F12" i="10" l="1"/>
  <c r="N12" i="10" s="1"/>
  <c r="D23" i="10"/>
  <c r="D6" i="5"/>
  <c r="G9" i="4"/>
  <c r="C5" i="10"/>
  <c r="F14" i="10" s="1"/>
  <c r="C9" i="4"/>
  <c r="D19" i="3"/>
  <c r="D17" i="3"/>
  <c r="D9" i="3"/>
  <c r="J31" i="2"/>
  <c r="J29" i="2"/>
  <c r="J27" i="2"/>
  <c r="F25" i="2"/>
  <c r="I21" i="2"/>
  <c r="H21" i="2"/>
  <c r="J16" i="2"/>
  <c r="J14" i="2"/>
  <c r="J12" i="2"/>
  <c r="J18" i="2" s="1"/>
  <c r="H12" i="2"/>
  <c r="F12" i="2"/>
  <c r="F3" i="2"/>
  <c r="P71" i="6"/>
  <c r="O71" i="6"/>
  <c r="N71" i="6"/>
  <c r="M71" i="6"/>
  <c r="L71" i="6"/>
  <c r="K71" i="6"/>
  <c r="J71" i="6"/>
  <c r="I71" i="6"/>
  <c r="H71" i="6"/>
  <c r="G71" i="6"/>
  <c r="F71" i="6"/>
  <c r="E71" i="6"/>
  <c r="O63" i="6"/>
  <c r="N63" i="6"/>
  <c r="M63" i="6"/>
  <c r="L63" i="6"/>
  <c r="K63" i="6"/>
  <c r="J63" i="6"/>
  <c r="I63" i="6"/>
  <c r="H63" i="6"/>
  <c r="G63" i="6"/>
  <c r="F63" i="6"/>
  <c r="N61" i="6"/>
  <c r="L61" i="6"/>
  <c r="K61" i="6"/>
  <c r="J61" i="6"/>
  <c r="H61" i="6"/>
  <c r="E57" i="6"/>
  <c r="O57" i="6" s="1"/>
  <c r="O55" i="6"/>
  <c r="E55" i="6"/>
  <c r="O46" i="6"/>
  <c r="F44" i="6"/>
  <c r="F45" i="6" s="1"/>
  <c r="F48" i="6" s="1"/>
  <c r="G56" i="6" s="1"/>
  <c r="G59" i="6" s="1"/>
  <c r="E32" i="6"/>
  <c r="E31" i="6"/>
  <c r="E33" i="6" s="1"/>
  <c r="E35" i="6" s="1"/>
  <c r="E38" i="6" s="1"/>
  <c r="E39" i="6" s="1"/>
  <c r="O62" i="6"/>
  <c r="I61" i="6"/>
  <c r="I9" i="6"/>
  <c r="E9" i="4"/>
  <c r="I34" i="2"/>
  <c r="H34" i="2"/>
  <c r="I33" i="2"/>
  <c r="H33" i="2"/>
  <c r="L28" i="2"/>
  <c r="H25" i="2"/>
  <c r="H20" i="2"/>
  <c r="I20" i="2"/>
  <c r="D14" i="10" l="1"/>
  <c r="H14" i="10"/>
  <c r="L25" i="10"/>
  <c r="N23" i="10"/>
  <c r="G11" i="4"/>
  <c r="G13" i="4" s="1"/>
  <c r="L5" i="5" s="1"/>
  <c r="E59" i="6"/>
  <c r="E69" i="6" s="1"/>
  <c r="E72" i="6" s="1"/>
  <c r="J25" i="2"/>
  <c r="H62" i="6"/>
  <c r="I62" i="6"/>
  <c r="M61" i="6"/>
  <c r="K62" i="6"/>
  <c r="L62" i="6"/>
  <c r="G61" i="6"/>
  <c r="O61" i="6"/>
  <c r="M62" i="6"/>
  <c r="J62" i="6"/>
  <c r="F62" i="6"/>
  <c r="N62" i="6"/>
  <c r="G62" i="6"/>
  <c r="E75" i="6" l="1"/>
  <c r="N14" i="10"/>
  <c r="D25" i="10" s="1"/>
  <c r="N25" i="10" s="1"/>
  <c r="D35" i="10" s="1"/>
  <c r="D33" i="10"/>
  <c r="D31" i="10"/>
  <c r="E28" i="6"/>
  <c r="D88" i="6" s="1"/>
  <c r="O88" i="6" s="1"/>
  <c r="K64" i="6"/>
  <c r="K65" i="6" s="1"/>
  <c r="J64" i="6"/>
  <c r="J65" i="6" s="1"/>
  <c r="N64" i="6"/>
  <c r="N65" i="6" s="1"/>
  <c r="F64" i="6"/>
  <c r="F65" i="6" s="1"/>
  <c r="F67" i="6" s="1"/>
  <c r="I64" i="6"/>
  <c r="I65" i="6" s="1"/>
  <c r="H64" i="6"/>
  <c r="H65" i="6" s="1"/>
  <c r="O64" i="6"/>
  <c r="O65" i="6" s="1"/>
  <c r="G64" i="6"/>
  <c r="G65" i="6" s="1"/>
  <c r="M64" i="6"/>
  <c r="M65" i="6" s="1"/>
  <c r="L64" i="6"/>
  <c r="L65" i="6" s="1"/>
  <c r="F46" i="6"/>
  <c r="G44" i="6" s="1"/>
  <c r="G45" i="6" s="1"/>
  <c r="D74" i="6" l="1"/>
  <c r="G88" i="6"/>
  <c r="J88" i="6"/>
  <c r="P88" i="6"/>
  <c r="H88" i="6"/>
  <c r="I88" i="6"/>
  <c r="K88" i="6"/>
  <c r="L88" i="6"/>
  <c r="E88" i="6"/>
  <c r="E89" i="6" s="1"/>
  <c r="E90" i="6" s="1"/>
  <c r="F88" i="6"/>
  <c r="N88" i="6"/>
  <c r="H35" i="10"/>
  <c r="F31" i="10"/>
  <c r="M88" i="6"/>
  <c r="N31" i="10"/>
  <c r="G66" i="6"/>
  <c r="G67" i="6" s="1"/>
  <c r="G69" i="6" s="1"/>
  <c r="G72" i="6" s="1"/>
  <c r="F69" i="6"/>
  <c r="F72" i="6" s="1"/>
  <c r="M66" i="6"/>
  <c r="M67" i="6" s="1"/>
  <c r="K66" i="6"/>
  <c r="K67" i="6" s="1"/>
  <c r="N66" i="6"/>
  <c r="N67" i="6" s="1"/>
  <c r="L66" i="6"/>
  <c r="L67" i="6" s="1"/>
  <c r="H66" i="6"/>
  <c r="H67" i="6" s="1"/>
  <c r="P66" i="6"/>
  <c r="P67" i="6" s="1"/>
  <c r="O66" i="6"/>
  <c r="O67" i="6" s="1"/>
  <c r="I66" i="6"/>
  <c r="I67" i="6" s="1"/>
  <c r="J66" i="6"/>
  <c r="J67" i="6" s="1"/>
  <c r="G48" i="6"/>
  <c r="H56" i="6" s="1"/>
  <c r="H59" i="6" s="1"/>
  <c r="G89" i="6" l="1"/>
  <c r="P31" i="10"/>
  <c r="F33" i="10"/>
  <c r="N33" i="10" s="1"/>
  <c r="P33" i="10" s="1"/>
  <c r="L35" i="10"/>
  <c r="N35" i="10" s="1"/>
  <c r="P35" i="10" s="1"/>
  <c r="F89" i="6"/>
  <c r="F90" i="6" s="1"/>
  <c r="H69" i="6"/>
  <c r="H72" i="6" s="1"/>
  <c r="H89" i="6" s="1"/>
  <c r="G46" i="6"/>
  <c r="H44" i="6" s="1"/>
  <c r="G90" i="6" l="1"/>
  <c r="H45" i="6"/>
  <c r="H48" i="6" s="1"/>
  <c r="I56" i="6" s="1"/>
  <c r="I59" i="6" s="1"/>
  <c r="I69" i="6" s="1"/>
  <c r="I72" i="6" s="1"/>
  <c r="I89" i="6" l="1"/>
  <c r="H90" i="6"/>
  <c r="H46" i="6"/>
  <c r="I44" i="6" s="1"/>
  <c r="I45" i="6" l="1"/>
  <c r="I48" i="6" s="1"/>
  <c r="J56" i="6" s="1"/>
  <c r="J59" i="6" s="1"/>
  <c r="J69" i="6" s="1"/>
  <c r="J72" i="6" s="1"/>
  <c r="I90" i="6"/>
  <c r="J89" i="6" l="1"/>
  <c r="I46" i="6"/>
  <c r="J44" i="6" s="1"/>
  <c r="J45" i="6" s="1"/>
  <c r="J48" i="6" s="1"/>
  <c r="K56" i="6" s="1"/>
  <c r="K59" i="6" s="1"/>
  <c r="K69" i="6" s="1"/>
  <c r="K72" i="6" s="1"/>
  <c r="K89" i="6" s="1"/>
  <c r="J46" i="6" l="1"/>
  <c r="K44" i="6" s="1"/>
  <c r="K45" i="6" s="1"/>
  <c r="K48" i="6" s="1"/>
  <c r="L56" i="6" s="1"/>
  <c r="L59" i="6" s="1"/>
  <c r="L69" i="6" s="1"/>
  <c r="L72" i="6" s="1"/>
  <c r="L89" i="6" s="1"/>
  <c r="J90" i="6"/>
  <c r="K90" i="6" s="1"/>
  <c r="E92" i="6" l="1"/>
  <c r="L90" i="6"/>
  <c r="K46" i="6"/>
  <c r="L44" i="6" s="1"/>
  <c r="L45" i="6" l="1"/>
  <c r="L48" i="6" s="1"/>
  <c r="M56" i="6" s="1"/>
  <c r="M59" i="6" s="1"/>
  <c r="M69" i="6" s="1"/>
  <c r="M72" i="6" s="1"/>
  <c r="M89" i="6" s="1"/>
  <c r="M90" i="6" l="1"/>
  <c r="L46" i="6"/>
  <c r="M44" i="6" s="1"/>
  <c r="M45" i="6" l="1"/>
  <c r="M48" i="6" s="1"/>
  <c r="N56" i="6" s="1"/>
  <c r="N59" i="6" s="1"/>
  <c r="N69" i="6" s="1"/>
  <c r="N72" i="6" s="1"/>
  <c r="N89" i="6" s="1"/>
  <c r="M46" i="6" l="1"/>
  <c r="N44" i="6" s="1"/>
  <c r="N45" i="6" s="1"/>
  <c r="N48" i="6" s="1"/>
  <c r="O56" i="6" s="1"/>
  <c r="O59" i="6" s="1"/>
  <c r="O69" i="6" s="1"/>
  <c r="O72" i="6" s="1"/>
  <c r="O89" i="6" s="1"/>
  <c r="N90" i="6"/>
  <c r="O90" i="6" l="1"/>
  <c r="N46" i="6"/>
  <c r="O44" i="6" l="1"/>
  <c r="O45" i="6" s="1"/>
  <c r="O48" i="6" s="1"/>
  <c r="P56" i="6" s="1"/>
  <c r="P59" i="6" s="1"/>
  <c r="P69" i="6" s="1"/>
  <c r="P72" i="6" s="1"/>
  <c r="E81" i="6" l="1"/>
  <c r="M5" i="5" s="1"/>
  <c r="E74" i="6"/>
  <c r="E76" i="6" s="1"/>
  <c r="P89" i="6"/>
  <c r="P90" i="6" s="1"/>
</calcChain>
</file>

<file path=xl/comments1.xml><?xml version="1.0" encoding="utf-8"?>
<comments xmlns="http://schemas.openxmlformats.org/spreadsheetml/2006/main">
  <authors>
    <author>Author</author>
  </authors>
  <commentList>
    <comment ref="O55" authorId="0" shapeId="0">
      <text>
        <r>
          <rPr>
            <sz val="9"/>
            <color indexed="81"/>
            <rFont val="Tahoma"/>
            <family val="2"/>
          </rPr>
          <t xml:space="preserve">Stated in money terms and thus already includes inflation.
</t>
        </r>
      </text>
    </comment>
    <comment ref="O57" authorId="0" shapeId="0">
      <text>
        <r>
          <rPr>
            <sz val="9"/>
            <color indexed="81"/>
            <rFont val="Tahoma"/>
            <family val="2"/>
          </rPr>
          <t xml:space="preserve">Stated in current prices hence must be inflated by general inflation rate for 10 years.
</t>
        </r>
      </text>
    </comment>
  </commentList>
</comments>
</file>

<file path=xl/sharedStrings.xml><?xml version="1.0" encoding="utf-8"?>
<sst xmlns="http://schemas.openxmlformats.org/spreadsheetml/2006/main" count="260" uniqueCount="202">
  <si>
    <t>Edinburgh plc</t>
  </si>
  <si>
    <t>Actual</t>
  </si>
  <si>
    <t>Forecast</t>
  </si>
  <si>
    <t>÷</t>
  </si>
  <si>
    <t>=</t>
  </si>
  <si>
    <t>Undervalued below</t>
  </si>
  <si>
    <t>Fairly valued between</t>
  </si>
  <si>
    <t>and</t>
  </si>
  <si>
    <t>Overvalued above</t>
  </si>
  <si>
    <t>Co PER &gt; Index PER +10%</t>
  </si>
  <si>
    <t>Hence the shares appear to be</t>
  </si>
  <si>
    <t>But is this justified by forecast EPS growth of</t>
  </si>
  <si>
    <t>No</t>
  </si>
  <si>
    <r>
      <t xml:space="preserve">Dividend yield = prospective dividend per share </t>
    </r>
    <r>
      <rPr>
        <b/>
        <u/>
        <sz val="12"/>
        <color theme="1"/>
        <rFont val="Calibri"/>
        <family val="2"/>
      </rPr>
      <t>÷ share price</t>
    </r>
  </si>
  <si>
    <t>DY of company's shares</t>
  </si>
  <si>
    <t>Undervalued above</t>
  </si>
  <si>
    <t>Co DY &gt; Index DY +10%</t>
  </si>
  <si>
    <t>Overvalued below</t>
  </si>
  <si>
    <t>Co DY &lt; Index DY -10%</t>
  </si>
  <si>
    <t>But is this justified by forecast DPS growth of</t>
  </si>
  <si>
    <t>Overall opinion on valuation</t>
  </si>
  <si>
    <t>Are the shares currently fairly priced by the equity market?</t>
  </si>
  <si>
    <t>If no, are the shares currently undervalued or overvalued?</t>
  </si>
  <si>
    <t>Overvalued</t>
  </si>
  <si>
    <r>
      <t>Estimated K</t>
    </r>
    <r>
      <rPr>
        <vertAlign val="subscript"/>
        <sz val="14"/>
        <rFont val="Arial"/>
        <family val="2"/>
      </rPr>
      <t>E</t>
    </r>
    <r>
      <rPr>
        <sz val="14"/>
        <rFont val="Arial"/>
        <family val="2"/>
      </rPr>
      <t xml:space="preserve"> using DVM formula:</t>
    </r>
  </si>
  <si>
    <r>
      <t>Cost of equity (K</t>
    </r>
    <r>
      <rPr>
        <b/>
        <vertAlign val="subscript"/>
        <sz val="14"/>
        <rFont val="Arial"/>
        <family val="2"/>
      </rPr>
      <t>E</t>
    </r>
    <r>
      <rPr>
        <b/>
        <sz val="14"/>
        <rFont val="Arial"/>
        <family val="2"/>
      </rPr>
      <t>) using the dividend valuation model (DVM):</t>
    </r>
  </si>
  <si>
    <t xml:space="preserve">Number of share in issue (m) </t>
  </si>
  <si>
    <t>Ex-dividend share price</t>
  </si>
  <si>
    <t>Equity</t>
  </si>
  <si>
    <t>Weighted average cost of capital</t>
  </si>
  <si>
    <t>Weight:</t>
  </si>
  <si>
    <t>Capital</t>
  </si>
  <si>
    <r>
      <t xml:space="preserve">Market value </t>
    </r>
    <r>
      <rPr>
        <b/>
        <sz val="18"/>
        <rFont val="Calibri"/>
        <family val="2"/>
      </rPr>
      <t>£</t>
    </r>
    <r>
      <rPr>
        <b/>
        <sz val="18"/>
        <rFont val="Arial"/>
        <family val="2"/>
      </rPr>
      <t>m</t>
    </r>
  </si>
  <si>
    <t>Cost of capital after tax</t>
  </si>
  <si>
    <r>
      <t xml:space="preserve">Cost of capital x market value </t>
    </r>
    <r>
      <rPr>
        <b/>
        <sz val="18"/>
        <rFont val="Calibri"/>
        <family val="2"/>
      </rPr>
      <t>÷</t>
    </r>
    <r>
      <rPr>
        <b/>
        <i/>
        <sz val="18"/>
        <rFont val="Arial"/>
        <family val="2"/>
      </rPr>
      <t xml:space="preserve"> total market value</t>
    </r>
  </si>
  <si>
    <t>Debt</t>
  </si>
  <si>
    <t>Total market value =</t>
  </si>
  <si>
    <t>WACC =</t>
  </si>
  <si>
    <t>Expansion project in Belgium</t>
  </si>
  <si>
    <t>Project</t>
  </si>
  <si>
    <t>Country</t>
  </si>
  <si>
    <t>Investment amount (£m)</t>
  </si>
  <si>
    <t>Proposed source of finance</t>
  </si>
  <si>
    <r>
      <t xml:space="preserve">Is the project size marginal? </t>
    </r>
    <r>
      <rPr>
        <b/>
        <vertAlign val="superscript"/>
        <sz val="14"/>
        <rFont val="Arial"/>
        <family val="2"/>
      </rPr>
      <t>1</t>
    </r>
  </si>
  <si>
    <r>
      <t xml:space="preserve">Will the project affect business risk? </t>
    </r>
    <r>
      <rPr>
        <b/>
        <vertAlign val="superscript"/>
        <sz val="14"/>
        <rFont val="Arial"/>
        <family val="2"/>
      </rPr>
      <t>2</t>
    </r>
  </si>
  <si>
    <r>
      <t xml:space="preserve">Will the project affect financial risk? </t>
    </r>
    <r>
      <rPr>
        <b/>
        <vertAlign val="superscript"/>
        <sz val="14"/>
        <rFont val="Arial"/>
        <family val="2"/>
      </rPr>
      <t>3</t>
    </r>
  </si>
  <si>
    <t>Can the WACC be used?</t>
  </si>
  <si>
    <t>WACC Estimate</t>
  </si>
  <si>
    <t>Expected IRR</t>
  </si>
  <si>
    <t>Decision</t>
  </si>
  <si>
    <t>A</t>
  </si>
  <si>
    <t>Belgium</t>
  </si>
  <si>
    <t>Existing resources</t>
  </si>
  <si>
    <t>Yes</t>
  </si>
  <si>
    <t>Accept</t>
  </si>
  <si>
    <t>Data entry section:</t>
  </si>
  <si>
    <t>Life of the expanded facility</t>
  </si>
  <si>
    <t>years</t>
  </si>
  <si>
    <t>Current foreign exchange rate (EUR/GBP)</t>
  </si>
  <si>
    <t>Capital investment (EUR)</t>
  </si>
  <si>
    <t>which qualifies for capital allowances</t>
  </si>
  <si>
    <t>Disposal proceeds (EUR)</t>
  </si>
  <si>
    <r>
      <t xml:space="preserve">in </t>
    </r>
    <r>
      <rPr>
        <sz val="11"/>
        <color rgb="FFFF0000"/>
        <rFont val="Calibri"/>
        <family val="2"/>
        <scheme val="minor"/>
      </rPr>
      <t>money terms</t>
    </r>
    <r>
      <rPr>
        <sz val="10"/>
        <rFont val="Arial"/>
        <family val="2"/>
      </rPr>
      <t xml:space="preserve"> at the end of the project</t>
    </r>
  </si>
  <si>
    <t>Working capital requirement (EUR)</t>
  </si>
  <si>
    <t>which will be released at the end of the project</t>
  </si>
  <si>
    <t>Belgium capital allowance rate</t>
  </si>
  <si>
    <t>Additional units sold</t>
  </si>
  <si>
    <t>per annual</t>
  </si>
  <si>
    <t>Selling price per unit (EUR)</t>
  </si>
  <si>
    <t>Annual sales revenues (EUR)</t>
  </si>
  <si>
    <r>
      <t xml:space="preserve">which is expected to change by +1% per annum, </t>
    </r>
    <r>
      <rPr>
        <sz val="11"/>
        <color rgb="FFFF0000"/>
        <rFont val="Calibri"/>
        <family val="2"/>
        <scheme val="minor"/>
      </rPr>
      <t>money terms</t>
    </r>
  </si>
  <si>
    <t>Direct cost per unit (EUR)</t>
  </si>
  <si>
    <t>Annual direct cost (EUR)</t>
  </si>
  <si>
    <r>
      <t xml:space="preserve">which is expected to change by -1% per annum, </t>
    </r>
    <r>
      <rPr>
        <sz val="11"/>
        <color rgb="FFFF0000"/>
        <rFont val="Calibri"/>
        <family val="2"/>
        <scheme val="minor"/>
      </rPr>
      <t>money terms</t>
    </r>
  </si>
  <si>
    <t>Additional staff cost (EUR)</t>
  </si>
  <si>
    <r>
      <t xml:space="preserve">which is expected to change by +2% per annum, </t>
    </r>
    <r>
      <rPr>
        <sz val="11"/>
        <color rgb="FFFF0000"/>
        <rFont val="Calibri"/>
        <family val="2"/>
        <scheme val="minor"/>
      </rPr>
      <t>money terms</t>
    </r>
  </si>
  <si>
    <t>Additional overhead cost (EUR)</t>
  </si>
  <si>
    <r>
      <t xml:space="preserve">which is expected to remain unchanged / including depreciation, </t>
    </r>
    <r>
      <rPr>
        <sz val="11"/>
        <color rgb="FFFF0000"/>
        <rFont val="Calibri"/>
        <family val="2"/>
        <scheme val="minor"/>
      </rPr>
      <t>money terms</t>
    </r>
  </si>
  <si>
    <t>Belgium corporate tax rate</t>
  </si>
  <si>
    <t>UK corporate tax rate</t>
  </si>
  <si>
    <t>Belgium inflation rate</t>
  </si>
  <si>
    <t>Post tax money discount rate</t>
  </si>
  <si>
    <t>already in money terms</t>
  </si>
  <si>
    <t>use WACC as tax money discount rate</t>
  </si>
  <si>
    <t>Depreciation calculation:</t>
  </si>
  <si>
    <t>Cost of investment</t>
  </si>
  <si>
    <t>Less: disposal proceeds</t>
  </si>
  <si>
    <t>Depreciable amount</t>
  </si>
  <si>
    <t>Project life</t>
  </si>
  <si>
    <t>Annual straight line depreciation</t>
  </si>
  <si>
    <t>Overhead cost</t>
  </si>
  <si>
    <t>Less: depreciation</t>
  </si>
  <si>
    <t>Relevant overhead cost p.a. (EUR )</t>
  </si>
  <si>
    <t>Capital allowances calculation:</t>
  </si>
  <si>
    <t>Year</t>
  </si>
  <si>
    <t>TWDV b/fwd</t>
  </si>
  <si>
    <t>Belgium's capital allowance rate @</t>
  </si>
  <si>
    <t>TWDV c/fwd</t>
  </si>
  <si>
    <t>disposal proceeds</t>
  </si>
  <si>
    <t>Tax Relief @</t>
  </si>
  <si>
    <t>of WDA</t>
  </si>
  <si>
    <t>Net Present Value</t>
  </si>
  <si>
    <t>Investment/disposal proceeds</t>
  </si>
  <si>
    <t>Tax relief on capital allowances</t>
  </si>
  <si>
    <t>Working capital</t>
  </si>
  <si>
    <t>inflated by</t>
  </si>
  <si>
    <t>Capital cash flows</t>
  </si>
  <si>
    <t>Sales revenues is expected to change by</t>
  </si>
  <si>
    <t>Direct cost is expected to change by</t>
  </si>
  <si>
    <t>Staff cost is expected to change by</t>
  </si>
  <si>
    <t>Overhead cost (remain unchanged)</t>
  </si>
  <si>
    <t>Pre-tax trading cash flows</t>
  </si>
  <si>
    <t>Corporate tax rate @</t>
  </si>
  <si>
    <t>Post-tax trading cash flows</t>
  </si>
  <si>
    <t>Net cash flows (EUR)</t>
  </si>
  <si>
    <t>EUR/GBP rate</t>
  </si>
  <si>
    <t>Net cash flows (£)</t>
  </si>
  <si>
    <t>Discount factors @</t>
  </si>
  <si>
    <t>Advice: set-up the facility</t>
  </si>
  <si>
    <t>Internal Rate of Return</t>
  </si>
  <si>
    <t>IRR =</t>
  </si>
  <si>
    <t>+ (</t>
  </si>
  <si>
    <t>x</t>
  </si>
  <si>
    <t>)</t>
  </si>
  <si>
    <t>+</t>
  </si>
  <si>
    <t>Discounted Payback Period</t>
  </si>
  <si>
    <t>Present values (£) @</t>
  </si>
  <si>
    <t>Cumulative present values (£)</t>
  </si>
  <si>
    <t>DPP =</t>
  </si>
  <si>
    <t>Hurtle period =</t>
  </si>
  <si>
    <t>Advice</t>
  </si>
  <si>
    <r>
      <rPr>
        <b/>
        <u/>
        <sz val="12"/>
        <color theme="1"/>
        <rFont val="Calibri"/>
        <family val="2"/>
        <scheme val="minor"/>
      </rPr>
      <t>With-Tax</t>
    </r>
    <r>
      <rPr>
        <b/>
        <sz val="12"/>
        <color theme="1"/>
        <rFont val="Calibri"/>
        <family val="2"/>
        <scheme val="minor"/>
      </rPr>
      <t xml:space="preserve"> Theory of Capital Structure</t>
    </r>
  </si>
  <si>
    <t>Data</t>
  </si>
  <si>
    <t>Market value (V) £m</t>
  </si>
  <si>
    <t>Post-Tax Cost (K)</t>
  </si>
  <si>
    <r>
      <t>Corporation tax rate (T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0"/>
        <rFont val="Arial"/>
        <family val="2"/>
      </rPr>
      <t>)</t>
    </r>
  </si>
  <si>
    <t>Current capital structure</t>
  </si>
  <si>
    <r>
      <t>Total market value: V</t>
    </r>
    <r>
      <rPr>
        <vertAlign val="subscript"/>
        <sz val="12"/>
        <color theme="1"/>
        <rFont val="Calibri"/>
        <family val="2"/>
        <scheme val="minor"/>
      </rPr>
      <t>D+E</t>
    </r>
    <r>
      <rPr>
        <sz val="12"/>
        <color theme="1"/>
        <rFont val="Calibri"/>
        <family val="2"/>
        <scheme val="minor"/>
      </rPr>
      <t xml:space="preserve"> </t>
    </r>
  </si>
  <si>
    <r>
      <t>Financial gearing: G = 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D+E</t>
    </r>
    <r>
      <rPr>
        <sz val="12"/>
        <color theme="1"/>
        <rFont val="Calibri"/>
        <family val="2"/>
        <scheme val="minor"/>
      </rPr>
      <t xml:space="preserve"> </t>
    </r>
  </si>
  <si>
    <r>
      <t>WACC = (G x K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) + ((1-G) x K</t>
    </r>
    <r>
      <rPr>
        <vertAlign val="subscript"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)</t>
    </r>
  </si>
  <si>
    <t>= (</t>
  </si>
  <si>
    <t>) + (</t>
  </si>
  <si>
    <t>The "optimal" level of financial gearing is above the company's current level:</t>
  </si>
  <si>
    <t>M&amp;M's with-tax theory approximates to the trade-off theory so its formulae may be used</t>
  </si>
  <si>
    <t>If it was ungeared</t>
  </si>
  <si>
    <r>
      <t xml:space="preserve">Market value: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)</t>
    </r>
  </si>
  <si>
    <t>- (</t>
  </si>
  <si>
    <r>
      <t xml:space="preserve">WACC: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K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(1 -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))</t>
    </r>
  </si>
  <si>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(</t>
    </r>
  </si>
  <si>
    <t>)) =</t>
  </si>
  <si>
    <t>This step must be taken before estimating market value and WACC at a different level of financial gearing</t>
  </si>
  <si>
    <t>If it increased gearing to</t>
  </si>
  <si>
    <r>
      <t xml:space="preserve">Market value: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</t>
    </r>
    <r>
      <rPr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+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)</t>
    </r>
  </si>
  <si>
    <t>an increase of</t>
  </si>
  <si>
    <r>
      <t xml:space="preserve">WACC: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 xml:space="preserve"> =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K</t>
    </r>
    <r>
      <rPr>
        <vertAlign val="subscript"/>
        <sz val="12"/>
        <color theme="1"/>
        <rFont val="Calibri"/>
        <family val="2"/>
        <scheme val="minor"/>
      </rPr>
      <t>ug</t>
    </r>
    <r>
      <rPr>
        <sz val="12"/>
        <color theme="1"/>
        <rFont val="Calibri"/>
        <family val="2"/>
        <scheme val="minor"/>
      </rPr>
      <t xml:space="preserve"> x (1 - (V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x T</t>
    </r>
    <r>
      <rPr>
        <vertAlign val="sub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>÷</t>
    </r>
    <r>
      <rPr>
        <sz val="12"/>
        <color theme="1"/>
        <rFont val="Calibri"/>
        <family val="2"/>
        <scheme val="minor"/>
      </rPr>
      <t xml:space="preserve"> V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))</t>
    </r>
  </si>
  <si>
    <t>x (</t>
  </si>
  <si>
    <t xml:space="preserve">a decrease of </t>
  </si>
  <si>
    <t>In accordance with Agency Theory, the true optimal level of financial gearing may be above the average level of competitors</t>
  </si>
  <si>
    <t>Year ended 30 September</t>
  </si>
  <si>
    <t>Earnings per share (p)</t>
  </si>
  <si>
    <t>Dividend per share (p)</t>
  </si>
  <si>
    <t>Dividend cover</t>
  </si>
  <si>
    <t>Change in dividend</t>
  </si>
  <si>
    <t>Change in earnings per share</t>
  </si>
  <si>
    <t>Current share price (p) :</t>
  </si>
  <si>
    <r>
      <t xml:space="preserve">Price earnings ratio (P/E) = share price </t>
    </r>
    <r>
      <rPr>
        <b/>
        <u/>
        <sz val="12"/>
        <color theme="1"/>
        <rFont val="Calibri"/>
        <family val="2"/>
      </rPr>
      <t>÷ prospective earnings per share</t>
    </r>
  </si>
  <si>
    <t>P/E of company's shares</t>
  </si>
  <si>
    <t>P/E of FTSE All-share index</t>
  </si>
  <si>
    <t>Co P/E &lt; Index P/E -10%</t>
  </si>
  <si>
    <t>DY of FTSE All-share index</t>
  </si>
  <si>
    <t>Clean share price (p):</t>
  </si>
  <si>
    <r>
      <t>Market value (V</t>
    </r>
    <r>
      <rPr>
        <b/>
        <vertAlign val="subscript"/>
        <sz val="14"/>
        <rFont val="Arial"/>
        <family val="2"/>
      </rPr>
      <t>E - £m</t>
    </r>
    <r>
      <rPr>
        <b/>
        <sz val="14"/>
        <rFont val="Arial"/>
        <family val="2"/>
      </rPr>
      <t>):</t>
    </r>
  </si>
  <si>
    <t>Year ended 31 December</t>
  </si>
  <si>
    <t>Annual dividend per share (p)</t>
  </si>
  <si>
    <t>Company’s expected future dividend growth rate (g):</t>
  </si>
  <si>
    <t>Bonds</t>
  </si>
  <si>
    <t>Book value in issue (£ million)</t>
  </si>
  <si>
    <r>
      <t xml:space="preserve">Market price per </t>
    </r>
    <r>
      <rPr>
        <sz val="15"/>
        <rFont val="Calibri"/>
        <family val="2"/>
      </rPr>
      <t>£</t>
    </r>
    <r>
      <rPr>
        <sz val="15"/>
        <rFont val="Arial"/>
        <family val="2"/>
      </rPr>
      <t>100 nominal (</t>
    </r>
    <r>
      <rPr>
        <sz val="15"/>
        <rFont val="Calibri"/>
        <family val="2"/>
      </rPr>
      <t>£</t>
    </r>
    <r>
      <rPr>
        <sz val="15"/>
        <rFont val="Arial"/>
        <family val="2"/>
      </rPr>
      <t>)</t>
    </r>
  </si>
  <si>
    <t>Coupon rate (paid semi‐annually)</t>
  </si>
  <si>
    <t>Years to redemption</t>
  </si>
  <si>
    <r>
      <t>Cost of debt (K</t>
    </r>
    <r>
      <rPr>
        <b/>
        <vertAlign val="subscript"/>
        <sz val="15"/>
        <rFont val="Arial"/>
        <family val="2"/>
      </rPr>
      <t>D</t>
    </r>
    <r>
      <rPr>
        <b/>
        <sz val="15"/>
        <rFont val="Arial"/>
        <family val="2"/>
      </rPr>
      <t xml:space="preserve">) </t>
    </r>
  </si>
  <si>
    <t>Settlement (today's date)</t>
  </si>
  <si>
    <t>Year to maturity</t>
  </si>
  <si>
    <t>Maturity (redemption date)</t>
  </si>
  <si>
    <t>Coupon (pre-tax)</t>
  </si>
  <si>
    <t>Corporate tax rate</t>
  </si>
  <si>
    <t>Redemption (nominal value)</t>
  </si>
  <si>
    <t>Frequency (number of interest payments per annum)</t>
  </si>
  <si>
    <t>Actual cost of debt:</t>
  </si>
  <si>
    <t>UK inflation rate</t>
  </si>
  <si>
    <t>NPV Y0</t>
  </si>
  <si>
    <t>NPV</t>
  </si>
  <si>
    <t>NPV Y1-11 (Discount factor @7%)</t>
  </si>
  <si>
    <t>below average financial gearing of competitor 30%</t>
  </si>
  <si>
    <t>2. There is no business risk because it is only expansion of one of the company's existing facilities in Belgium</t>
  </si>
  <si>
    <t>3. There is no financial risk because the project can be funded from the company’s existing resources</t>
  </si>
  <si>
    <t>Therefore can use WACC as discount factor for investment appraisal</t>
  </si>
  <si>
    <t>Months since last semi-annual interest payment</t>
  </si>
  <si>
    <r>
      <t>Market value (V</t>
    </r>
    <r>
      <rPr>
        <b/>
        <vertAlign val="subscript"/>
        <sz val="15"/>
        <rFont val="Arial"/>
        <family val="2"/>
      </rPr>
      <t>D</t>
    </r>
    <r>
      <rPr>
        <b/>
        <sz val="15"/>
        <rFont val="Arial"/>
        <family val="2"/>
      </rPr>
      <t>) - £m</t>
    </r>
  </si>
  <si>
    <t>Market price per £100 nominal</t>
  </si>
  <si>
    <t>Although the project's DPP (6.75 years) is longer than the 4 years hurdle period but IRR (14.5%) is higher than the cost of capital (7.31%) and it has a positive NPV (+1,460,406), therefore the directors should accept the project and it is thus forecast to increase shareholder wealth.</t>
  </si>
  <si>
    <t>1. Because investment amount £3.5m is 0.6% of MV of (£616m) (less than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</si>
</sst>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(* #,##0.00_);_(* \(#,##0.00\);_(* &quot;-&quot;??_);_(@_)"/>
    <numFmt numFmtId="164" formatCode="0.0"/>
    <numFmt numFmtId="165" formatCode="\+0%;\-0%;0%"/>
    <numFmt numFmtId="166" formatCode="0.0%"/>
    <numFmt numFmtId="167" formatCode="0.000"/>
    <numFmt numFmtId="168" formatCode="#,##0;\(#,##0\);\-"/>
    <numFmt numFmtId="169" formatCode="_(* #,##0.0_);_(* \(#,##0.0\);_(* &quot;-&quot;??_);_(@_)"/>
    <numFmt numFmtId="170" formatCode="0.0000"/>
    <numFmt numFmtId="171" formatCode="#,##0;\(#,##0\)"/>
    <numFmt numFmtId="172" formatCode="_(* #,##0_);_(* \(#,##0\);_(* &quot;-&quot;??_);_(@_)"/>
    <numFmt numFmtId="173" formatCode="\+#,##0;\-#,##0;\-"/>
    <numFmt numFmtId="174" formatCode="#,##0.0000_ ;\-#,##0.0000\ "/>
    <numFmt numFmtId="175" formatCode="#,##0.000_ ;\-#,##0.000\ "/>
    <numFmt numFmtId="176" formatCode="0.00_ ;\-0.00\ "/>
    <numFmt numFmtId="177" formatCode="#,##0.0;\(#,##0.0\);\-"/>
    <numFmt numFmtId="178" formatCode="&quot;£&quot;#,##0"/>
    <numFmt numFmtId="179" formatCode="dd\.mm\.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bscript"/>
      <sz val="14"/>
      <name val="Arial"/>
      <family val="2"/>
    </font>
    <font>
      <b/>
      <vertAlign val="subscript"/>
      <sz val="14"/>
      <name val="Arial"/>
      <family val="2"/>
    </font>
    <font>
      <b/>
      <u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i/>
      <sz val="18"/>
      <name val="Arial"/>
      <family val="2"/>
    </font>
    <font>
      <b/>
      <sz val="18"/>
      <name val="Calibri"/>
      <family val="2"/>
    </font>
    <font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vertAlign val="superscript"/>
      <sz val="14"/>
      <name val="Arial"/>
      <family val="2"/>
    </font>
    <font>
      <b/>
      <sz val="14"/>
      <color rgb="FF0070C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u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u/>
      <sz val="15"/>
      <name val="Arial"/>
      <family val="2"/>
    </font>
    <font>
      <sz val="15"/>
      <name val="Calibri"/>
      <family val="2"/>
    </font>
    <font>
      <b/>
      <vertAlign val="subscript"/>
      <sz val="15"/>
      <name val="Arial"/>
      <family val="2"/>
    </font>
    <font>
      <b/>
      <i/>
      <sz val="15"/>
      <name val="Arial"/>
      <family val="2"/>
    </font>
    <font>
      <i/>
      <sz val="15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0" fontId="6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vertical="center"/>
    </xf>
    <xf numFmtId="2" fontId="5" fillId="0" borderId="0" xfId="1" applyNumberFormat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6" fillId="3" borderId="6" xfId="1" applyFont="1" applyFill="1" applyBorder="1" applyAlignment="1">
      <alignment vertical="center"/>
    </xf>
    <xf numFmtId="0" fontId="6" fillId="3" borderId="7" xfId="1" applyFont="1" applyFill="1" applyBorder="1" applyAlignment="1">
      <alignment vertical="center"/>
    </xf>
    <xf numFmtId="164" fontId="6" fillId="3" borderId="7" xfId="1" applyNumberFormat="1" applyFont="1" applyFill="1" applyBorder="1" applyAlignment="1">
      <alignment vertical="center"/>
    </xf>
    <xf numFmtId="0" fontId="8" fillId="0" borderId="8" xfId="1" applyFont="1" applyBorder="1" applyAlignment="1">
      <alignment vertical="center" wrapText="1"/>
    </xf>
    <xf numFmtId="164" fontId="8" fillId="0" borderId="8" xfId="1" applyNumberFormat="1" applyFont="1" applyBorder="1" applyAlignment="1">
      <alignment vertical="center" wrapText="1"/>
    </xf>
    <xf numFmtId="0" fontId="9" fillId="0" borderId="8" xfId="1" applyFont="1" applyBorder="1" applyAlignment="1">
      <alignment vertical="center" wrapText="1"/>
    </xf>
    <xf numFmtId="0" fontId="10" fillId="3" borderId="0" xfId="1" applyFont="1" applyFill="1" applyAlignment="1">
      <alignment vertical="center"/>
    </xf>
    <xf numFmtId="164" fontId="6" fillId="3" borderId="0" xfId="1" applyNumberFormat="1" applyFont="1" applyFill="1" applyAlignment="1">
      <alignment vertical="center"/>
    </xf>
    <xf numFmtId="2" fontId="6" fillId="3" borderId="0" xfId="1" applyNumberFormat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0" fontId="6" fillId="3" borderId="0" xfId="1" applyFont="1" applyFill="1" applyAlignment="1">
      <alignment horizontal="left" vertical="center"/>
    </xf>
    <xf numFmtId="9" fontId="6" fillId="3" borderId="0" xfId="2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9" fontId="6" fillId="3" borderId="0" xfId="1" applyNumberFormat="1" applyFont="1" applyFill="1" applyAlignment="1">
      <alignment vertical="center"/>
    </xf>
    <xf numFmtId="165" fontId="6" fillId="3" borderId="0" xfId="2" applyNumberFormat="1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6" fillId="3" borderId="0" xfId="1" applyNumberFormat="1" applyFont="1" applyFill="1" applyAlignment="1">
      <alignment vertical="center"/>
    </xf>
    <xf numFmtId="166" fontId="5" fillId="3" borderId="0" xfId="2" applyNumberFormat="1" applyFont="1" applyFill="1" applyAlignment="1">
      <alignment horizontal="center" vertical="center"/>
    </xf>
    <xf numFmtId="167" fontId="6" fillId="3" borderId="0" xfId="1" applyNumberFormat="1" applyFont="1" applyFill="1" applyAlignment="1">
      <alignment vertical="center"/>
    </xf>
    <xf numFmtId="166" fontId="6" fillId="3" borderId="0" xfId="2" applyNumberFormat="1" applyFont="1" applyFill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13" fillId="4" borderId="0" xfId="3" applyFont="1" applyFill="1"/>
    <xf numFmtId="0" fontId="14" fillId="4" borderId="0" xfId="3" applyFont="1" applyFill="1"/>
    <xf numFmtId="0" fontId="13" fillId="4" borderId="0" xfId="3" applyFont="1" applyFill="1" applyAlignment="1">
      <alignment horizontal="center"/>
    </xf>
    <xf numFmtId="10" fontId="13" fillId="4" borderId="0" xfId="3" applyNumberFormat="1" applyFont="1" applyFill="1"/>
    <xf numFmtId="166" fontId="13" fillId="4" borderId="0" xfId="3" applyNumberFormat="1" applyFont="1" applyFill="1"/>
    <xf numFmtId="10" fontId="14" fillId="2" borderId="9" xfId="4" applyNumberFormat="1" applyFont="1" applyFill="1" applyBorder="1" applyAlignment="1">
      <alignment horizontal="center"/>
    </xf>
    <xf numFmtId="0" fontId="13" fillId="4" borderId="0" xfId="3" applyFont="1" applyFill="1" applyAlignment="1">
      <alignment horizontal="right"/>
    </xf>
    <xf numFmtId="166" fontId="13" fillId="4" borderId="0" xfId="4" applyNumberFormat="1" applyFont="1" applyFill="1" applyAlignment="1">
      <alignment horizontal="center" vertical="center"/>
    </xf>
    <xf numFmtId="0" fontId="13" fillId="4" borderId="0" xfId="3" applyFont="1" applyFill="1" applyAlignment="1">
      <alignment horizontal="right" vertical="center"/>
    </xf>
    <xf numFmtId="0" fontId="13" fillId="4" borderId="0" xfId="3" applyFont="1" applyFill="1" applyAlignment="1">
      <alignment horizontal="left" vertical="center" wrapText="1"/>
    </xf>
    <xf numFmtId="0" fontId="14" fillId="4" borderId="0" xfId="3" applyFont="1" applyFill="1" applyAlignment="1">
      <alignment horizontal="center" vertical="center"/>
    </xf>
    <xf numFmtId="164" fontId="13" fillId="4" borderId="8" xfId="3" applyNumberFormat="1" applyFont="1" applyFill="1" applyBorder="1" applyAlignment="1">
      <alignment horizontal="center" vertical="center"/>
    </xf>
    <xf numFmtId="0" fontId="13" fillId="4" borderId="8" xfId="3" applyFont="1" applyFill="1" applyBorder="1" applyAlignment="1">
      <alignment horizontal="center" vertical="center" wrapText="1"/>
    </xf>
    <xf numFmtId="0" fontId="14" fillId="4" borderId="8" xfId="3" applyFont="1" applyFill="1" applyBorder="1" applyAlignment="1">
      <alignment horizontal="center" vertical="center"/>
    </xf>
    <xf numFmtId="0" fontId="14" fillId="0" borderId="0" xfId="3" applyFont="1" applyFill="1"/>
    <xf numFmtId="3" fontId="14" fillId="4" borderId="9" xfId="3" applyNumberFormat="1" applyFont="1" applyFill="1" applyBorder="1" applyAlignment="1">
      <alignment horizontal="center"/>
    </xf>
    <xf numFmtId="168" fontId="14" fillId="4" borderId="0" xfId="3" applyNumberFormat="1" applyFont="1" applyFill="1" applyBorder="1" applyAlignment="1">
      <alignment horizontal="center"/>
    </xf>
    <xf numFmtId="168" fontId="14" fillId="4" borderId="9" xfId="3" applyNumberFormat="1" applyFont="1" applyFill="1" applyBorder="1" applyAlignment="1">
      <alignment horizontal="center"/>
    </xf>
    <xf numFmtId="0" fontId="17" fillId="4" borderId="0" xfId="3" applyFont="1" applyFill="1"/>
    <xf numFmtId="0" fontId="14" fillId="2" borderId="0" xfId="3" applyFont="1" applyFill="1"/>
    <xf numFmtId="0" fontId="18" fillId="2" borderId="0" xfId="3" applyFont="1" applyFill="1"/>
    <xf numFmtId="0" fontId="19" fillId="4" borderId="0" xfId="3" applyFont="1" applyFill="1"/>
    <xf numFmtId="0" fontId="19" fillId="4" borderId="0" xfId="3" applyFont="1" applyFill="1" applyBorder="1"/>
    <xf numFmtId="0" fontId="18" fillId="4" borderId="0" xfId="3" applyFont="1" applyFill="1"/>
    <xf numFmtId="0" fontId="20" fillId="4" borderId="0" xfId="3" applyFont="1" applyFill="1" applyAlignment="1">
      <alignment horizontal="center"/>
    </xf>
    <xf numFmtId="0" fontId="18" fillId="4" borderId="0" xfId="3" applyFont="1" applyFill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20" fillId="4" borderId="0" xfId="3" applyFont="1" applyFill="1" applyAlignment="1">
      <alignment horizontal="center" wrapText="1"/>
    </xf>
    <xf numFmtId="0" fontId="18" fillId="4" borderId="10" xfId="3" applyFont="1" applyFill="1" applyBorder="1"/>
    <xf numFmtId="0" fontId="18" fillId="4" borderId="10" xfId="3" applyFont="1" applyFill="1" applyBorder="1" applyAlignment="1">
      <alignment horizontal="center" wrapText="1"/>
    </xf>
    <xf numFmtId="0" fontId="19" fillId="4" borderId="10" xfId="3" applyFont="1" applyFill="1" applyBorder="1"/>
    <xf numFmtId="0" fontId="22" fillId="4" borderId="10" xfId="3" applyFont="1" applyFill="1" applyBorder="1" applyAlignment="1">
      <alignment horizontal="center" wrapText="1"/>
    </xf>
    <xf numFmtId="0" fontId="19" fillId="4" borderId="0" xfId="3" applyFont="1" applyFill="1" applyAlignment="1">
      <alignment horizontal="center"/>
    </xf>
    <xf numFmtId="0" fontId="19" fillId="4" borderId="0" xfId="3" applyFont="1" applyFill="1" applyBorder="1" applyAlignment="1">
      <alignment horizontal="center"/>
    </xf>
    <xf numFmtId="0" fontId="22" fillId="4" borderId="0" xfId="3" applyFont="1" applyFill="1"/>
    <xf numFmtId="1" fontId="19" fillId="4" borderId="0" xfId="3" applyNumberFormat="1" applyFont="1" applyFill="1" applyAlignment="1">
      <alignment horizontal="center"/>
    </xf>
    <xf numFmtId="10" fontId="19" fillId="4" borderId="0" xfId="4" applyNumberFormat="1" applyFont="1" applyFill="1" applyAlignment="1">
      <alignment horizontal="center"/>
    </xf>
    <xf numFmtId="166" fontId="19" fillId="4" borderId="0" xfId="3" applyNumberFormat="1" applyFont="1" applyFill="1"/>
    <xf numFmtId="166" fontId="22" fillId="4" borderId="0" xfId="4" applyNumberFormat="1" applyFont="1" applyFill="1" applyAlignment="1">
      <alignment horizontal="center"/>
    </xf>
    <xf numFmtId="167" fontId="19" fillId="4" borderId="0" xfId="3" applyNumberFormat="1" applyFont="1" applyFill="1"/>
    <xf numFmtId="166" fontId="19" fillId="4" borderId="0" xfId="4" applyNumberFormat="1" applyFont="1" applyFill="1" applyAlignment="1">
      <alignment horizontal="center"/>
    </xf>
    <xf numFmtId="0" fontId="23" fillId="4" borderId="0" xfId="3" applyFont="1" applyFill="1" applyAlignment="1">
      <alignment horizontal="left" vertical="center"/>
    </xf>
    <xf numFmtId="1" fontId="23" fillId="4" borderId="11" xfId="3" applyNumberFormat="1" applyFont="1" applyFill="1" applyBorder="1" applyAlignment="1">
      <alignment horizontal="center" vertical="center"/>
    </xf>
    <xf numFmtId="0" fontId="18" fillId="4" borderId="0" xfId="3" applyFont="1" applyFill="1" applyBorder="1" applyAlignment="1">
      <alignment horizontal="center" vertical="center"/>
    </xf>
    <xf numFmtId="166" fontId="23" fillId="2" borderId="0" xfId="3" applyNumberFormat="1" applyFont="1" applyFill="1" applyBorder="1" applyAlignment="1">
      <alignment horizontal="center" vertical="center"/>
    </xf>
    <xf numFmtId="166" fontId="19" fillId="2" borderId="0" xfId="3" applyNumberFormat="1" applyFont="1" applyFill="1" applyAlignment="1">
      <alignment vertical="center"/>
    </xf>
    <xf numFmtId="166" fontId="23" fillId="2" borderId="9" xfId="3" applyNumberFormat="1" applyFont="1" applyFill="1" applyBorder="1" applyAlignment="1">
      <alignment horizontal="center" vertical="center"/>
    </xf>
    <xf numFmtId="0" fontId="19" fillId="4" borderId="0" xfId="3" applyFont="1" applyFill="1" applyAlignment="1">
      <alignment vertical="center"/>
    </xf>
    <xf numFmtId="0" fontId="24" fillId="2" borderId="0" xfId="5" applyFont="1" applyFill="1"/>
    <xf numFmtId="0" fontId="13" fillId="2" borderId="0" xfId="3" applyFont="1" applyFill="1"/>
    <xf numFmtId="0" fontId="13" fillId="2" borderId="0" xfId="3" applyFont="1" applyFill="1" applyBorder="1" applyAlignment="1">
      <alignment horizontal="center"/>
    </xf>
    <xf numFmtId="0" fontId="13" fillId="3" borderId="0" xfId="3" applyFont="1" applyFill="1" applyBorder="1"/>
    <xf numFmtId="0" fontId="14" fillId="4" borderId="8" xfId="3" applyFont="1" applyFill="1" applyBorder="1" applyAlignment="1">
      <alignment vertical="center" wrapText="1"/>
    </xf>
    <xf numFmtId="0" fontId="14" fillId="4" borderId="8" xfId="3" applyFont="1" applyFill="1" applyBorder="1" applyAlignment="1">
      <alignment horizontal="center" vertical="center" wrapText="1"/>
    </xf>
    <xf numFmtId="0" fontId="14" fillId="4" borderId="0" xfId="3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 wrapText="1"/>
    </xf>
    <xf numFmtId="0" fontId="14" fillId="3" borderId="0" xfId="3" applyFont="1" applyFill="1" applyBorder="1" applyAlignment="1">
      <alignment horizontal="center" vertical="center" wrapText="1"/>
    </xf>
    <xf numFmtId="0" fontId="13" fillId="4" borderId="8" xfId="3" applyFont="1" applyFill="1" applyBorder="1" applyAlignment="1">
      <alignment horizontal="center" vertical="center"/>
    </xf>
    <xf numFmtId="169" fontId="13" fillId="4" borderId="8" xfId="6" applyNumberFormat="1" applyFont="1" applyFill="1" applyBorder="1" applyAlignment="1">
      <alignment horizontal="center" vertical="center"/>
    </xf>
    <xf numFmtId="9" fontId="13" fillId="4" borderId="0" xfId="4" applyFont="1" applyFill="1" applyBorder="1" applyAlignment="1">
      <alignment horizontal="center" vertical="center"/>
    </xf>
    <xf numFmtId="0" fontId="26" fillId="2" borderId="8" xfId="3" applyFont="1" applyFill="1" applyBorder="1" applyAlignment="1">
      <alignment horizontal="center" vertical="center" wrapText="1"/>
    </xf>
    <xf numFmtId="166" fontId="14" fillId="4" borderId="8" xfId="4" quotePrefix="1" applyNumberFormat="1" applyFont="1" applyFill="1" applyBorder="1" applyAlignment="1">
      <alignment horizontal="center" vertical="center"/>
    </xf>
    <xf numFmtId="166" fontId="14" fillId="4" borderId="8" xfId="4" applyNumberFormat="1" applyFont="1" applyFill="1" applyBorder="1" applyAlignment="1">
      <alignment horizontal="center" vertical="center"/>
    </xf>
    <xf numFmtId="0" fontId="26" fillId="4" borderId="8" xfId="3" applyFont="1" applyFill="1" applyBorder="1" applyAlignment="1">
      <alignment horizontal="center" vertical="center" wrapText="1"/>
    </xf>
    <xf numFmtId="0" fontId="13" fillId="4" borderId="0" xfId="3" applyFont="1" applyFill="1" applyAlignment="1">
      <alignment vertical="center"/>
    </xf>
    <xf numFmtId="0" fontId="13" fillId="4" borderId="0" xfId="3" applyFont="1" applyFill="1" applyBorder="1" applyAlignment="1">
      <alignment horizontal="center"/>
    </xf>
    <xf numFmtId="0" fontId="27" fillId="3" borderId="0" xfId="1" applyFont="1" applyFill="1"/>
    <xf numFmtId="0" fontId="1" fillId="3" borderId="0" xfId="1" applyFill="1" applyAlignment="1">
      <alignment horizontal="center"/>
    </xf>
    <xf numFmtId="0" fontId="1" fillId="3" borderId="0" xfId="1" applyFill="1"/>
    <xf numFmtId="0" fontId="27" fillId="2" borderId="0" xfId="1" applyFont="1" applyFill="1"/>
    <xf numFmtId="0" fontId="5" fillId="3" borderId="0" xfId="1" applyFont="1" applyFill="1"/>
    <xf numFmtId="0" fontId="10" fillId="3" borderId="0" xfId="1" applyFont="1" applyFill="1"/>
    <xf numFmtId="0" fontId="6" fillId="3" borderId="0" xfId="1" applyFont="1" applyFill="1" applyAlignment="1">
      <alignment horizontal="center"/>
    </xf>
    <xf numFmtId="170" fontId="0" fillId="3" borderId="0" xfId="2" applyNumberFormat="1" applyFont="1" applyFill="1" applyAlignment="1">
      <alignment horizontal="center"/>
    </xf>
    <xf numFmtId="0" fontId="2" fillId="3" borderId="0" xfId="1" applyFont="1" applyFill="1"/>
    <xf numFmtId="171" fontId="1" fillId="3" borderId="0" xfId="1" applyNumberFormat="1" applyFill="1" applyAlignment="1">
      <alignment horizontal="center"/>
    </xf>
    <xf numFmtId="172" fontId="4" fillId="3" borderId="0" xfId="6" applyNumberFormat="1" applyFont="1" applyFill="1"/>
    <xf numFmtId="0" fontId="1" fillId="0" borderId="0" xfId="1"/>
    <xf numFmtId="0" fontId="1" fillId="0" borderId="0" xfId="1" applyAlignment="1">
      <alignment horizontal="center"/>
    </xf>
    <xf numFmtId="9" fontId="0" fillId="0" borderId="0" xfId="2" applyFont="1" applyFill="1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9" fontId="0" fillId="3" borderId="0" xfId="2" applyFont="1" applyFill="1" applyAlignment="1">
      <alignment horizontal="center"/>
    </xf>
    <xf numFmtId="0" fontId="1" fillId="3" borderId="0" xfId="1" applyFill="1" applyAlignment="1">
      <alignment horizontal="left"/>
    </xf>
    <xf numFmtId="166" fontId="0" fillId="2" borderId="0" xfId="2" applyNumberFormat="1" applyFont="1" applyFill="1" applyAlignment="1">
      <alignment horizontal="center"/>
    </xf>
    <xf numFmtId="0" fontId="1" fillId="3" borderId="0" xfId="1" applyFont="1" applyFill="1"/>
    <xf numFmtId="0" fontId="10" fillId="3" borderId="0" xfId="1" applyFont="1" applyFill="1" applyAlignment="1">
      <alignment horizontal="left"/>
    </xf>
    <xf numFmtId="171" fontId="1" fillId="3" borderId="10" xfId="1" applyNumberFormat="1" applyFill="1" applyBorder="1" applyAlignment="1">
      <alignment horizontal="center"/>
    </xf>
    <xf numFmtId="171" fontId="3" fillId="3" borderId="11" xfId="1" applyNumberFormat="1" applyFont="1" applyFill="1" applyBorder="1" applyAlignment="1">
      <alignment horizontal="center"/>
    </xf>
    <xf numFmtId="0" fontId="3" fillId="3" borderId="0" xfId="1" applyFont="1" applyFill="1" applyAlignment="1">
      <alignment horizontal="left"/>
    </xf>
    <xf numFmtId="171" fontId="3" fillId="3" borderId="12" xfId="1" applyNumberFormat="1" applyFont="1" applyFill="1" applyBorder="1" applyAlignment="1">
      <alignment horizontal="center"/>
    </xf>
    <xf numFmtId="0" fontId="10" fillId="0" borderId="0" xfId="1" applyFont="1" applyAlignment="1">
      <alignment horizontal="left"/>
    </xf>
    <xf numFmtId="0" fontId="3" fillId="3" borderId="0" xfId="1" applyFont="1" applyFill="1" applyAlignment="1">
      <alignment horizontal="center" vertical="center"/>
    </xf>
    <xf numFmtId="171" fontId="1" fillId="3" borderId="0" xfId="1" applyNumberFormat="1" applyFill="1" applyAlignment="1">
      <alignment horizontal="center" vertical="center"/>
    </xf>
    <xf numFmtId="9" fontId="2" fillId="3" borderId="0" xfId="1" applyNumberFormat="1" applyFont="1" applyFill="1" applyAlignment="1">
      <alignment horizontal="center" vertical="center"/>
    </xf>
    <xf numFmtId="171" fontId="1" fillId="3" borderId="10" xfId="1" applyNumberFormat="1" applyFill="1" applyBorder="1" applyAlignment="1">
      <alignment horizontal="center" vertical="center"/>
    </xf>
    <xf numFmtId="171" fontId="1" fillId="0" borderId="0" xfId="1" applyNumberFormat="1" applyAlignment="1">
      <alignment horizontal="center" vertical="center"/>
    </xf>
    <xf numFmtId="171" fontId="2" fillId="3" borderId="0" xfId="1" applyNumberFormat="1" applyFont="1" applyFill="1" applyAlignment="1">
      <alignment horizontal="left" vertical="center"/>
    </xf>
    <xf numFmtId="171" fontId="3" fillId="3" borderId="11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left"/>
    </xf>
    <xf numFmtId="0" fontId="28" fillId="3" borderId="0" xfId="1" applyFont="1" applyFill="1" applyAlignment="1">
      <alignment horizontal="center" vertical="center"/>
    </xf>
    <xf numFmtId="173" fontId="1" fillId="3" borderId="0" xfId="1" applyNumberFormat="1" applyFill="1" applyAlignment="1">
      <alignment horizontal="center" vertical="center"/>
    </xf>
    <xf numFmtId="0" fontId="2" fillId="3" borderId="0" xfId="1" applyFont="1" applyFill="1" applyAlignment="1">
      <alignment horizontal="left"/>
    </xf>
    <xf numFmtId="10" fontId="2" fillId="3" borderId="0" xfId="1" applyNumberFormat="1" applyFont="1" applyFill="1" applyAlignment="1">
      <alignment horizontal="center" vertical="center"/>
    </xf>
    <xf numFmtId="10" fontId="1" fillId="3" borderId="0" xfId="1" applyNumberFormat="1" applyFill="1" applyAlignment="1">
      <alignment horizontal="center" vertical="center"/>
    </xf>
    <xf numFmtId="173" fontId="3" fillId="3" borderId="12" xfId="1" applyNumberFormat="1" applyFont="1" applyFill="1" applyBorder="1" applyAlignment="1">
      <alignment horizontal="center" vertical="center"/>
    </xf>
    <xf numFmtId="9" fontId="2" fillId="3" borderId="0" xfId="2" applyFont="1" applyFill="1" applyAlignment="1">
      <alignment horizontal="center" vertical="center"/>
    </xf>
    <xf numFmtId="9" fontId="1" fillId="3" borderId="0" xfId="1" applyNumberFormat="1" applyFill="1" applyAlignment="1">
      <alignment horizontal="center" vertical="center"/>
    </xf>
    <xf numFmtId="173" fontId="1" fillId="3" borderId="12" xfId="1" applyNumberFormat="1" applyFill="1" applyBorder="1" applyAlignment="1">
      <alignment horizontal="center" vertical="center"/>
    </xf>
    <xf numFmtId="0" fontId="1" fillId="3" borderId="12" xfId="1" applyFill="1" applyBorder="1"/>
    <xf numFmtId="9" fontId="2" fillId="0" borderId="0" xfId="1" applyNumberFormat="1" applyFont="1" applyAlignment="1">
      <alignment horizontal="center" vertical="center"/>
    </xf>
    <xf numFmtId="173" fontId="3" fillId="3" borderId="11" xfId="1" applyNumberFormat="1" applyFont="1" applyFill="1" applyBorder="1" applyAlignment="1">
      <alignment horizontal="center" vertical="center"/>
    </xf>
    <xf numFmtId="174" fontId="1" fillId="3" borderId="0" xfId="1" applyNumberFormat="1" applyFill="1" applyAlignment="1">
      <alignment horizontal="center" vertical="center"/>
    </xf>
    <xf numFmtId="170" fontId="3" fillId="3" borderId="0" xfId="1" applyNumberFormat="1" applyFont="1" applyFill="1" applyAlignment="1">
      <alignment horizontal="center" vertical="center"/>
    </xf>
    <xf numFmtId="173" fontId="3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75" fontId="1" fillId="3" borderId="0" xfId="1" applyNumberFormat="1" applyFill="1" applyAlignment="1">
      <alignment horizontal="center" vertical="center"/>
    </xf>
    <xf numFmtId="0" fontId="5" fillId="2" borderId="0" xfId="1" applyFont="1" applyFill="1" applyAlignment="1">
      <alignment horizontal="left"/>
    </xf>
    <xf numFmtId="173" fontId="29" fillId="3" borderId="0" xfId="1" applyNumberFormat="1" applyFont="1" applyFill="1" applyAlignment="1">
      <alignment horizontal="left" vertical="center"/>
    </xf>
    <xf numFmtId="0" fontId="1" fillId="2" borderId="0" xfId="1" applyFill="1" applyAlignment="1">
      <alignment horizontal="center"/>
    </xf>
    <xf numFmtId="166" fontId="10" fillId="2" borderId="0" xfId="1" applyNumberFormat="1" applyFont="1" applyFill="1" applyAlignment="1">
      <alignment horizontal="center"/>
    </xf>
    <xf numFmtId="166" fontId="30" fillId="3" borderId="0" xfId="1" applyNumberFormat="1" applyFont="1" applyFill="1" applyAlignment="1">
      <alignment horizontal="center"/>
    </xf>
    <xf numFmtId="0" fontId="30" fillId="3" borderId="0" xfId="1" applyFont="1" applyFill="1"/>
    <xf numFmtId="166" fontId="30" fillId="3" borderId="0" xfId="1" applyNumberFormat="1" applyFont="1" applyFill="1"/>
    <xf numFmtId="0" fontId="1" fillId="3" borderId="0" xfId="1" applyFont="1" applyFill="1" applyAlignment="1">
      <alignment horizontal="left"/>
    </xf>
    <xf numFmtId="10" fontId="3" fillId="3" borderId="0" xfId="1" applyNumberFormat="1" applyFont="1" applyFill="1"/>
    <xf numFmtId="0" fontId="31" fillId="3" borderId="0" xfId="1" applyFont="1" applyFill="1" applyAlignment="1">
      <alignment horizontal="center"/>
    </xf>
    <xf numFmtId="0" fontId="31" fillId="3" borderId="0" xfId="1" applyFont="1" applyFill="1"/>
    <xf numFmtId="0" fontId="32" fillId="3" borderId="0" xfId="1" applyFont="1" applyFill="1" applyAlignment="1">
      <alignment horizontal="left"/>
    </xf>
    <xf numFmtId="0" fontId="33" fillId="3" borderId="0" xfId="1" applyFont="1" applyFill="1" applyAlignment="1">
      <alignment horizontal="left"/>
    </xf>
    <xf numFmtId="166" fontId="10" fillId="3" borderId="0" xfId="1" applyNumberFormat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73" fontId="1" fillId="3" borderId="0" xfId="1" applyNumberFormat="1" applyFill="1" applyAlignment="1">
      <alignment horizontal="center"/>
    </xf>
    <xf numFmtId="173" fontId="3" fillId="3" borderId="12" xfId="1" applyNumberFormat="1" applyFont="1" applyFill="1" applyBorder="1" applyAlignment="1">
      <alignment horizontal="center"/>
    </xf>
    <xf numFmtId="176" fontId="10" fillId="2" borderId="0" xfId="1" applyNumberFormat="1" applyFont="1" applyFill="1" applyAlignment="1">
      <alignment horizontal="center"/>
    </xf>
    <xf numFmtId="173" fontId="29" fillId="3" borderId="0" xfId="1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176" fontId="10" fillId="3" borderId="0" xfId="1" applyNumberFormat="1" applyFont="1" applyFill="1" applyAlignment="1">
      <alignment horizontal="center"/>
    </xf>
    <xf numFmtId="173" fontId="1" fillId="3" borderId="0" xfId="1" applyNumberFormat="1" applyFont="1" applyFill="1" applyAlignment="1">
      <alignment horizontal="center"/>
    </xf>
    <xf numFmtId="0" fontId="34" fillId="3" borderId="0" xfId="1" applyFont="1" applyFill="1" applyAlignment="1">
      <alignment horizontal="left"/>
    </xf>
    <xf numFmtId="0" fontId="29" fillId="3" borderId="0" xfId="1" applyFont="1" applyFill="1" applyAlignment="1">
      <alignment horizontal="left"/>
    </xf>
    <xf numFmtId="0" fontId="2" fillId="3" borderId="0" xfId="1" applyFont="1" applyFill="1" applyAlignment="1">
      <alignment horizontal="center"/>
    </xf>
    <xf numFmtId="176" fontId="34" fillId="3" borderId="0" xfId="1" applyNumberFormat="1" applyFont="1" applyFill="1" applyAlignment="1">
      <alignment horizontal="center"/>
    </xf>
    <xf numFmtId="173" fontId="29" fillId="3" borderId="0" xfId="1" applyNumberFormat="1" applyFont="1" applyFill="1" applyAlignment="1">
      <alignment horizontal="center"/>
    </xf>
    <xf numFmtId="173" fontId="2" fillId="3" borderId="0" xfId="1" applyNumberFormat="1" applyFont="1" applyFill="1" applyAlignment="1">
      <alignment horizontal="center"/>
    </xf>
    <xf numFmtId="0" fontId="5" fillId="3" borderId="0" xfId="1" applyFont="1" applyFill="1" applyAlignment="1">
      <alignment horizontal="left" vertical="center"/>
    </xf>
    <xf numFmtId="0" fontId="36" fillId="3" borderId="0" xfId="1" applyFont="1" applyFill="1" applyAlignment="1">
      <alignment vertical="center"/>
    </xf>
    <xf numFmtId="0" fontId="37" fillId="3" borderId="0" xfId="1" applyFont="1" applyFill="1" applyAlignment="1">
      <alignment horizontal="left" vertical="center"/>
    </xf>
    <xf numFmtId="0" fontId="5" fillId="3" borderId="8" xfId="1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center" vertical="center"/>
    </xf>
    <xf numFmtId="1" fontId="6" fillId="3" borderId="8" xfId="1" applyNumberFormat="1" applyFont="1" applyFill="1" applyBorder="1" applyAlignment="1">
      <alignment horizontal="center" vertical="center"/>
    </xf>
    <xf numFmtId="167" fontId="6" fillId="3" borderId="0" xfId="1" applyNumberFormat="1" applyFont="1" applyFill="1" applyAlignment="1">
      <alignment horizontal="center" vertical="center"/>
    </xf>
    <xf numFmtId="166" fontId="6" fillId="3" borderId="0" xfId="1" applyNumberFormat="1" applyFont="1" applyFill="1" applyAlignment="1">
      <alignment horizontal="center" vertical="center"/>
    </xf>
    <xf numFmtId="10" fontId="6" fillId="3" borderId="8" xfId="1" applyNumberFormat="1" applyFont="1" applyFill="1" applyBorder="1" applyAlignment="1">
      <alignment horizontal="center" vertical="center"/>
    </xf>
    <xf numFmtId="10" fontId="6" fillId="3" borderId="8" xfId="7" applyNumberFormat="1" applyFont="1" applyFill="1" applyBorder="1" applyAlignment="1">
      <alignment horizontal="center" vertical="center"/>
    </xf>
    <xf numFmtId="0" fontId="6" fillId="3" borderId="0" xfId="1" quotePrefix="1" applyFont="1" applyFill="1" applyAlignment="1">
      <alignment horizontal="center" vertical="center"/>
    </xf>
    <xf numFmtId="166" fontId="6" fillId="3" borderId="0" xfId="7" applyNumberFormat="1" applyFont="1" applyFill="1" applyAlignment="1">
      <alignment horizontal="center" vertical="center"/>
    </xf>
    <xf numFmtId="9" fontId="6" fillId="3" borderId="8" xfId="7" applyFont="1" applyFill="1" applyBorder="1" applyAlignment="1">
      <alignment horizontal="center" vertical="center"/>
    </xf>
    <xf numFmtId="0" fontId="5" fillId="3" borderId="0" xfId="8" applyFont="1" applyFill="1" applyAlignment="1">
      <alignment horizontal="left" vertical="center"/>
    </xf>
    <xf numFmtId="0" fontId="6" fillId="3" borderId="0" xfId="8" applyFont="1" applyFill="1" applyAlignment="1">
      <alignment horizontal="center" vertical="center"/>
    </xf>
    <xf numFmtId="0" fontId="6" fillId="3" borderId="0" xfId="8" applyFont="1" applyFill="1" applyAlignment="1">
      <alignment vertical="center"/>
    </xf>
    <xf numFmtId="0" fontId="36" fillId="3" borderId="0" xfId="8" applyFont="1" applyFill="1" applyAlignment="1">
      <alignment vertical="center"/>
    </xf>
    <xf numFmtId="0" fontId="37" fillId="3" borderId="0" xfId="8" applyFont="1" applyFill="1" applyAlignment="1">
      <alignment horizontal="left" vertical="center"/>
    </xf>
    <xf numFmtId="0" fontId="10" fillId="3" borderId="0" xfId="8" applyFont="1" applyFill="1" applyAlignment="1">
      <alignment horizontal="left" vertical="center"/>
    </xf>
    <xf numFmtId="0" fontId="6" fillId="3" borderId="0" xfId="8" applyFont="1" applyFill="1" applyAlignment="1">
      <alignment horizontal="left" vertical="center"/>
    </xf>
    <xf numFmtId="0" fontId="6" fillId="3" borderId="0" xfId="8" applyFont="1" applyFill="1" applyAlignment="1">
      <alignment horizontal="right" vertical="center"/>
    </xf>
    <xf numFmtId="0" fontId="6" fillId="2" borderId="0" xfId="8" applyFont="1" applyFill="1" applyAlignment="1">
      <alignment horizontal="center" vertical="center"/>
    </xf>
    <xf numFmtId="1" fontId="6" fillId="2" borderId="0" xfId="8" applyNumberFormat="1" applyFont="1" applyFill="1" applyAlignment="1">
      <alignment horizontal="center" vertical="center"/>
    </xf>
    <xf numFmtId="1" fontId="5" fillId="3" borderId="0" xfId="8" applyNumberFormat="1" applyFont="1" applyFill="1" applyAlignment="1">
      <alignment horizontal="center" vertical="center"/>
    </xf>
    <xf numFmtId="164" fontId="6" fillId="3" borderId="0" xfId="8" applyNumberFormat="1" applyFont="1" applyFill="1" applyAlignment="1">
      <alignment horizontal="center" vertical="center"/>
    </xf>
    <xf numFmtId="0" fontId="7" fillId="3" borderId="0" xfId="8" quotePrefix="1" applyFont="1" applyFill="1" applyAlignment="1">
      <alignment horizontal="center" vertical="center"/>
    </xf>
    <xf numFmtId="1" fontId="6" fillId="3" borderId="0" xfId="8" applyNumberFormat="1" applyFont="1" applyFill="1" applyAlignment="1">
      <alignment horizontal="center" vertical="center"/>
    </xf>
    <xf numFmtId="0" fontId="6" fillId="3" borderId="0" xfId="8" quotePrefix="1" applyFont="1" applyFill="1" applyAlignment="1">
      <alignment horizontal="center" vertical="center"/>
    </xf>
    <xf numFmtId="166" fontId="5" fillId="3" borderId="0" xfId="9" applyNumberFormat="1" applyFont="1" applyFill="1" applyAlignment="1">
      <alignment horizontal="center" vertical="center"/>
    </xf>
    <xf numFmtId="166" fontId="6" fillId="3" borderId="0" xfId="9" applyNumberFormat="1" applyFont="1" applyFill="1" applyAlignment="1">
      <alignment horizontal="center" vertical="center"/>
    </xf>
    <xf numFmtId="0" fontId="6" fillId="3" borderId="0" xfId="8" quotePrefix="1" applyFont="1" applyFill="1" applyAlignment="1">
      <alignment horizontal="right" vertical="center"/>
    </xf>
    <xf numFmtId="10" fontId="6" fillId="2" borderId="0" xfId="8" applyNumberFormat="1" applyFont="1" applyFill="1" applyAlignment="1">
      <alignment horizontal="center" vertical="center"/>
    </xf>
    <xf numFmtId="0" fontId="6" fillId="3" borderId="0" xfId="8" quotePrefix="1" applyFont="1" applyFill="1" applyAlignment="1">
      <alignment horizontal="left" vertical="center"/>
    </xf>
    <xf numFmtId="0" fontId="6" fillId="3" borderId="10" xfId="8" applyFont="1" applyFill="1" applyBorder="1" applyAlignment="1">
      <alignment horizontal="left" vertical="center"/>
    </xf>
    <xf numFmtId="0" fontId="6" fillId="3" borderId="10" xfId="8" applyFont="1" applyFill="1" applyBorder="1" applyAlignment="1">
      <alignment horizontal="center" vertical="center"/>
    </xf>
    <xf numFmtId="0" fontId="6" fillId="3" borderId="10" xfId="8" applyFont="1" applyFill="1" applyBorder="1" applyAlignment="1">
      <alignment vertical="center"/>
    </xf>
    <xf numFmtId="0" fontId="36" fillId="3" borderId="10" xfId="8" applyFont="1" applyFill="1" applyBorder="1" applyAlignment="1">
      <alignment vertical="center"/>
    </xf>
    <xf numFmtId="0" fontId="37" fillId="3" borderId="10" xfId="8" applyFont="1" applyFill="1" applyBorder="1" applyAlignment="1">
      <alignment horizontal="left" vertical="center"/>
    </xf>
    <xf numFmtId="166" fontId="6" fillId="3" borderId="0" xfId="8" applyNumberFormat="1" applyFont="1" applyFill="1" applyAlignment="1">
      <alignment horizontal="center" vertical="center"/>
    </xf>
    <xf numFmtId="9" fontId="6" fillId="2" borderId="0" xfId="8" applyNumberFormat="1" applyFont="1" applyFill="1" applyAlignment="1">
      <alignment horizontal="center" vertical="center"/>
    </xf>
    <xf numFmtId="0" fontId="5" fillId="3" borderId="0" xfId="8" applyFont="1" applyFill="1" applyAlignment="1">
      <alignment horizontal="right" vertical="center"/>
    </xf>
    <xf numFmtId="1" fontId="5" fillId="3" borderId="0" xfId="8" applyNumberFormat="1" applyFont="1" applyFill="1" applyAlignment="1">
      <alignment horizontal="left" vertical="center"/>
    </xf>
    <xf numFmtId="3" fontId="6" fillId="3" borderId="0" xfId="8" applyNumberFormat="1" applyFont="1" applyFill="1" applyAlignment="1">
      <alignment horizontal="center" vertical="center"/>
    </xf>
    <xf numFmtId="9" fontId="6" fillId="3" borderId="0" xfId="8" applyNumberFormat="1" applyFont="1" applyFill="1" applyAlignment="1">
      <alignment horizontal="center" vertical="center"/>
    </xf>
    <xf numFmtId="166" fontId="5" fillId="3" borderId="0" xfId="8" applyNumberFormat="1" applyFont="1" applyFill="1" applyAlignment="1">
      <alignment horizontal="left" vertical="center"/>
    </xf>
    <xf numFmtId="0" fontId="36" fillId="3" borderId="0" xfId="8" applyFont="1" applyFill="1" applyAlignment="1">
      <alignment horizontal="left" vertical="center"/>
    </xf>
    <xf numFmtId="9" fontId="5" fillId="2" borderId="0" xfId="9" applyNumberFormat="1" applyFont="1" applyFill="1" applyAlignment="1">
      <alignment horizontal="center" vertical="center"/>
    </xf>
    <xf numFmtId="0" fontId="5" fillId="3" borderId="0" xfId="8" applyFont="1" applyFill="1" applyAlignment="1">
      <alignment horizontal="center" vertical="center"/>
    </xf>
    <xf numFmtId="0" fontId="19" fillId="4" borderId="0" xfId="5" applyFont="1" applyFill="1"/>
    <xf numFmtId="0" fontId="40" fillId="3" borderId="8" xfId="1" applyFont="1" applyFill="1" applyBorder="1" applyAlignment="1">
      <alignment vertical="center"/>
    </xf>
    <xf numFmtId="0" fontId="40" fillId="3" borderId="8" xfId="1" applyFont="1" applyFill="1" applyBorder="1" applyAlignment="1">
      <alignment horizontal="center" vertical="center"/>
    </xf>
    <xf numFmtId="0" fontId="41" fillId="3" borderId="8" xfId="1" applyFont="1" applyFill="1" applyBorder="1" applyAlignment="1">
      <alignment vertical="center"/>
    </xf>
    <xf numFmtId="0" fontId="41" fillId="3" borderId="8" xfId="1" applyFont="1" applyFill="1" applyBorder="1" applyAlignment="1">
      <alignment horizontal="center" vertical="center"/>
    </xf>
    <xf numFmtId="0" fontId="42" fillId="4" borderId="8" xfId="5" applyFont="1" applyFill="1" applyBorder="1"/>
    <xf numFmtId="177" fontId="42" fillId="4" borderId="8" xfId="5" applyNumberFormat="1" applyFont="1" applyFill="1" applyBorder="1" applyAlignment="1">
      <alignment horizontal="center"/>
    </xf>
    <xf numFmtId="10" fontId="19" fillId="4" borderId="0" xfId="5" applyNumberFormat="1" applyFont="1" applyFill="1"/>
    <xf numFmtId="166" fontId="42" fillId="4" borderId="8" xfId="10" applyNumberFormat="1" applyFont="1" applyFill="1" applyBorder="1" applyAlignment="1">
      <alignment horizontal="center" vertical="center"/>
    </xf>
    <xf numFmtId="168" fontId="18" fillId="4" borderId="8" xfId="5" applyNumberFormat="1" applyFont="1" applyFill="1" applyBorder="1" applyAlignment="1">
      <alignment horizontal="center"/>
    </xf>
    <xf numFmtId="9" fontId="19" fillId="4" borderId="0" xfId="11" applyFont="1" applyFill="1" applyAlignment="1">
      <alignment horizontal="center"/>
    </xf>
    <xf numFmtId="2" fontId="19" fillId="4" borderId="0" xfId="5" applyNumberFormat="1" applyFont="1" applyFill="1" applyAlignment="1">
      <alignment horizontal="center"/>
    </xf>
    <xf numFmtId="166" fontId="18" fillId="4" borderId="13" xfId="11" applyNumberFormat="1" applyFont="1" applyFill="1" applyBorder="1" applyAlignment="1">
      <alignment horizontal="center"/>
    </xf>
    <xf numFmtId="0" fontId="18" fillId="4" borderId="0" xfId="5" applyFont="1" applyFill="1"/>
    <xf numFmtId="0" fontId="19" fillId="4" borderId="0" xfId="5" applyFont="1" applyFill="1" applyAlignment="1">
      <alignment horizontal="left" indent="1"/>
    </xf>
    <xf numFmtId="0" fontId="43" fillId="2" borderId="0" xfId="3" applyFont="1" applyFill="1"/>
    <xf numFmtId="0" fontId="44" fillId="4" borderId="0" xfId="3" applyFont="1" applyFill="1"/>
    <xf numFmtId="0" fontId="45" fillId="4" borderId="0" xfId="3" applyFont="1" applyFill="1"/>
    <xf numFmtId="0" fontId="44" fillId="4" borderId="0" xfId="3" applyFont="1" applyFill="1" applyAlignment="1">
      <alignment horizontal="center"/>
    </xf>
    <xf numFmtId="0" fontId="44" fillId="0" borderId="0" xfId="3" applyFont="1" applyFill="1"/>
    <xf numFmtId="166" fontId="44" fillId="4" borderId="0" xfId="4" applyNumberFormat="1" applyFont="1" applyFill="1" applyAlignment="1">
      <alignment horizontal="center"/>
    </xf>
    <xf numFmtId="9" fontId="44" fillId="4" borderId="0" xfId="4" applyFont="1" applyFill="1" applyAlignment="1">
      <alignment horizontal="center"/>
    </xf>
    <xf numFmtId="0" fontId="43" fillId="4" borderId="0" xfId="3" applyFont="1" applyFill="1"/>
    <xf numFmtId="0" fontId="44" fillId="4" borderId="0" xfId="3" quotePrefix="1" applyFont="1" applyFill="1"/>
    <xf numFmtId="0" fontId="48" fillId="4" borderId="0" xfId="3" applyFont="1" applyFill="1"/>
    <xf numFmtId="0" fontId="49" fillId="4" borderId="0" xfId="3" applyFont="1" applyFill="1"/>
    <xf numFmtId="10" fontId="48" fillId="2" borderId="9" xfId="4" applyNumberFormat="1" applyFont="1" applyFill="1" applyBorder="1" applyAlignment="1">
      <alignment horizontal="center"/>
    </xf>
    <xf numFmtId="178" fontId="43" fillId="4" borderId="0" xfId="3" applyNumberFormat="1" applyFont="1" applyFill="1" applyAlignment="1">
      <alignment horizontal="center"/>
    </xf>
    <xf numFmtId="179" fontId="44" fillId="4" borderId="0" xfId="3" applyNumberFormat="1" applyFont="1" applyFill="1" applyAlignment="1">
      <alignment horizontal="center"/>
    </xf>
    <xf numFmtId="10" fontId="44" fillId="4" borderId="0" xfId="4" applyNumberFormat="1" applyFont="1" applyFill="1" applyAlignment="1">
      <alignment horizontal="center"/>
    </xf>
    <xf numFmtId="0" fontId="44" fillId="4" borderId="0" xfId="3" applyFont="1" applyFill="1" applyBorder="1" applyAlignment="1">
      <alignment horizontal="center"/>
    </xf>
    <xf numFmtId="179" fontId="44" fillId="4" borderId="0" xfId="3" applyNumberFormat="1" applyFont="1" applyFill="1"/>
    <xf numFmtId="43" fontId="44" fillId="4" borderId="0" xfId="6" applyFont="1" applyFill="1"/>
    <xf numFmtId="10" fontId="44" fillId="4" borderId="0" xfId="3" applyNumberFormat="1" applyFont="1" applyFill="1" applyAlignment="1">
      <alignment horizontal="center"/>
    </xf>
    <xf numFmtId="9" fontId="44" fillId="4" borderId="0" xfId="3" applyNumberFormat="1" applyFont="1" applyFill="1" applyAlignment="1">
      <alignment horizontal="center"/>
    </xf>
    <xf numFmtId="0" fontId="0" fillId="3" borderId="0" xfId="1" applyFont="1" applyFill="1" applyAlignment="1">
      <alignment horizontal="left"/>
    </xf>
    <xf numFmtId="10" fontId="0" fillId="3" borderId="0" xfId="2" applyNumberFormat="1" applyFont="1" applyFill="1" applyAlignment="1">
      <alignment horizontal="center"/>
    </xf>
    <xf numFmtId="170" fontId="1" fillId="3" borderId="0" xfId="1" applyNumberFormat="1" applyFont="1" applyFill="1" applyAlignment="1">
      <alignment horizontal="center" vertical="center"/>
    </xf>
    <xf numFmtId="173" fontId="1" fillId="3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left"/>
    </xf>
    <xf numFmtId="170" fontId="3" fillId="2" borderId="0" xfId="1" applyNumberFormat="1" applyFont="1" applyFill="1" applyAlignment="1">
      <alignment horizontal="center" vertical="center"/>
    </xf>
    <xf numFmtId="173" fontId="50" fillId="2" borderId="0" xfId="1" applyNumberFormat="1" applyFont="1" applyFill="1" applyAlignment="1">
      <alignment horizontal="center" vertical="center"/>
    </xf>
    <xf numFmtId="175" fontId="0" fillId="3" borderId="0" xfId="1" applyNumberFormat="1" applyFont="1" applyFill="1" applyAlignment="1">
      <alignment horizontal="center" vertical="center"/>
    </xf>
    <xf numFmtId="166" fontId="13" fillId="4" borderId="0" xfId="12" applyNumberFormat="1" applyFont="1" applyFill="1" applyBorder="1" applyAlignment="1">
      <alignment horizontal="center"/>
    </xf>
    <xf numFmtId="3" fontId="43" fillId="4" borderId="9" xfId="3" applyNumberFormat="1" applyFont="1" applyFill="1" applyBorder="1" applyAlignment="1">
      <alignment horizontal="center"/>
    </xf>
    <xf numFmtId="172" fontId="44" fillId="4" borderId="0" xfId="3" applyNumberFormat="1" applyFont="1" applyFill="1" applyAlignment="1">
      <alignment horizontal="center"/>
    </xf>
    <xf numFmtId="9" fontId="44" fillId="4" borderId="0" xfId="3" applyNumberFormat="1" applyFont="1" applyFill="1"/>
    <xf numFmtId="166" fontId="1" fillId="3" borderId="0" xfId="1" applyNumberFormat="1" applyFill="1" applyAlignment="1">
      <alignment horizontal="left"/>
    </xf>
    <xf numFmtId="166" fontId="44" fillId="4" borderId="0" xfId="12" applyNumberFormat="1" applyFont="1" applyFill="1"/>
    <xf numFmtId="0" fontId="6" fillId="3" borderId="0" xfId="1" applyFont="1" applyFill="1" applyAlignment="1">
      <alignment horizontal="center" vertical="center"/>
    </xf>
    <xf numFmtId="0" fontId="6" fillId="3" borderId="6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left" vertical="center"/>
    </xf>
    <xf numFmtId="0" fontId="6" fillId="3" borderId="3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left" vertical="center"/>
    </xf>
    <xf numFmtId="0" fontId="6" fillId="3" borderId="0" xfId="1" quotePrefix="1" applyFont="1" applyFill="1" applyAlignment="1">
      <alignment horizontal="center" vertical="center"/>
    </xf>
    <xf numFmtId="0" fontId="43" fillId="2" borderId="0" xfId="3" applyFont="1" applyFill="1" applyAlignment="1">
      <alignment horizontal="center" wrapText="1"/>
    </xf>
    <xf numFmtId="0" fontId="44" fillId="2" borderId="0" xfId="3" applyFont="1" applyFill="1" applyAlignment="1">
      <alignment horizontal="center" wrapText="1"/>
    </xf>
    <xf numFmtId="0" fontId="29" fillId="3" borderId="0" xfId="1" applyFont="1" applyFill="1" applyAlignment="1">
      <alignment horizontal="left" vertical="center" wrapText="1"/>
    </xf>
    <xf numFmtId="0" fontId="5" fillId="3" borderId="0" xfId="8" applyFont="1" applyFill="1" applyAlignment="1">
      <alignment horizontal="center" vertical="center"/>
    </xf>
  </cellXfs>
  <cellStyles count="13">
    <cellStyle name="Comma 2" xfId="6"/>
    <cellStyle name="Normal" xfId="0" builtinId="0"/>
    <cellStyle name="Normal 2" xfId="1"/>
    <cellStyle name="Normal 3" xfId="3"/>
    <cellStyle name="Normal 4" xfId="5"/>
    <cellStyle name="Normal 5" xfId="8"/>
    <cellStyle name="Per cent 2" xfId="7"/>
    <cellStyle name="Per cent 4" xfId="11"/>
    <cellStyle name="Percent" xfId="12" builtinId="5"/>
    <cellStyle name="Percent 2" xfId="2"/>
    <cellStyle name="Percent 3" xfId="4"/>
    <cellStyle name="Percent 3 2" xfId="10"/>
    <cellStyle name="Percent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opLeftCell="A20" zoomScale="90" zoomScaleNormal="90" workbookViewId="0">
      <selection activeCell="A9" sqref="A9:XFD24"/>
    </sheetView>
  </sheetViews>
  <sheetFormatPr defaultColWidth="9.21875" defaultRowHeight="15.6" x14ac:dyDescent="0.3"/>
  <cols>
    <col min="1" max="1" width="28.77734375" style="2" customWidth="1"/>
    <col min="2" max="5" width="12.77734375" style="2" customWidth="1"/>
    <col min="6" max="9" width="12.77734375" style="3" customWidth="1"/>
    <col min="10" max="10" width="15.21875" style="2" bestFit="1" customWidth="1"/>
    <col min="11" max="11" width="9.21875" style="2"/>
    <col min="12" max="12" width="1.6640625" style="3" customWidth="1"/>
    <col min="13" max="16384" width="9.21875" style="2"/>
  </cols>
  <sheetData>
    <row r="1" spans="1:13" x14ac:dyDescent="0.3">
      <c r="A1" s="1" t="s">
        <v>0</v>
      </c>
    </row>
    <row r="2" spans="1:13" x14ac:dyDescent="0.3">
      <c r="A2" s="4"/>
    </row>
    <row r="3" spans="1:13" x14ac:dyDescent="0.3">
      <c r="A3" s="4" t="s">
        <v>164</v>
      </c>
      <c r="C3" s="3"/>
      <c r="F3" s="5">
        <f>1100</f>
        <v>1100</v>
      </c>
    </row>
    <row r="5" spans="1:13" x14ac:dyDescent="0.3">
      <c r="A5" s="282" t="s">
        <v>172</v>
      </c>
      <c r="B5" s="283"/>
      <c r="C5" s="277" t="s">
        <v>1</v>
      </c>
      <c r="D5" s="278"/>
      <c r="E5" s="278"/>
      <c r="F5" s="278"/>
      <c r="G5" s="279"/>
      <c r="H5" s="280" t="s">
        <v>2</v>
      </c>
      <c r="I5" s="281"/>
    </row>
    <row r="6" spans="1:13" x14ac:dyDescent="0.3">
      <c r="A6" s="284"/>
      <c r="B6" s="285"/>
      <c r="C6" s="6">
        <v>2020</v>
      </c>
      <c r="D6" s="6">
        <v>2021</v>
      </c>
      <c r="E6" s="6">
        <v>2022</v>
      </c>
      <c r="F6" s="6">
        <v>2023</v>
      </c>
      <c r="G6" s="6">
        <v>2024</v>
      </c>
      <c r="H6" s="7">
        <v>2025</v>
      </c>
      <c r="I6" s="6">
        <v>2026</v>
      </c>
    </row>
    <row r="7" spans="1:13" ht="30" customHeight="1" x14ac:dyDescent="0.3">
      <c r="A7" s="8" t="s">
        <v>159</v>
      </c>
      <c r="B7" s="9"/>
      <c r="C7" s="10">
        <v>49</v>
      </c>
      <c r="D7" s="11">
        <v>49.7</v>
      </c>
      <c r="E7" s="11">
        <v>50.4</v>
      </c>
      <c r="F7" s="11">
        <v>51.2</v>
      </c>
      <c r="G7" s="12">
        <v>52</v>
      </c>
      <c r="H7" s="13">
        <v>52.8</v>
      </c>
      <c r="I7" s="11">
        <v>53.6</v>
      </c>
    </row>
    <row r="8" spans="1:13" ht="30" customHeight="1" x14ac:dyDescent="0.3">
      <c r="A8" s="8" t="s">
        <v>160</v>
      </c>
      <c r="B8" s="9"/>
      <c r="C8" s="11">
        <v>34.799999999999997</v>
      </c>
      <c r="D8" s="12">
        <v>36</v>
      </c>
      <c r="E8" s="11">
        <v>37.299999999999997</v>
      </c>
      <c r="F8" s="11">
        <v>38.6</v>
      </c>
      <c r="G8" s="12">
        <v>40</v>
      </c>
      <c r="H8" s="13">
        <v>41.4</v>
      </c>
      <c r="I8" s="11">
        <v>42.8</v>
      </c>
    </row>
    <row r="10" spans="1:13" ht="18" customHeight="1" x14ac:dyDescent="0.3">
      <c r="A10" s="14" t="s">
        <v>165</v>
      </c>
    </row>
    <row r="11" spans="1:13" ht="18" customHeight="1" x14ac:dyDescent="0.3">
      <c r="M11" s="15"/>
    </row>
    <row r="12" spans="1:13" ht="18" customHeight="1" x14ac:dyDescent="0.3">
      <c r="A12" s="2" t="s">
        <v>166</v>
      </c>
      <c r="F12" s="16">
        <f>F3</f>
        <v>1100</v>
      </c>
      <c r="G12" s="17" t="s">
        <v>3</v>
      </c>
      <c r="H12" s="16">
        <f>H7</f>
        <v>52.8</v>
      </c>
      <c r="I12" s="3" t="s">
        <v>4</v>
      </c>
      <c r="J12" s="18">
        <f>F12/H12</f>
        <v>20.833333333333336</v>
      </c>
    </row>
    <row r="13" spans="1:13" ht="18" customHeight="1" x14ac:dyDescent="0.3">
      <c r="B13" s="3"/>
      <c r="C13" s="3"/>
      <c r="D13" s="3"/>
      <c r="E13" s="3"/>
    </row>
    <row r="14" spans="1:13" ht="18" customHeight="1" x14ac:dyDescent="0.3">
      <c r="B14" s="3"/>
      <c r="C14" s="3"/>
      <c r="D14" s="3"/>
      <c r="E14" s="3"/>
      <c r="F14" s="19" t="s">
        <v>5</v>
      </c>
      <c r="H14" s="276" t="s">
        <v>168</v>
      </c>
      <c r="I14" s="276"/>
      <c r="J14" s="3">
        <f>ROUND(B15*0.9,1)</f>
        <v>14</v>
      </c>
    </row>
    <row r="15" spans="1:13" ht="18" customHeight="1" x14ac:dyDescent="0.3">
      <c r="A15" s="2" t="s">
        <v>167</v>
      </c>
      <c r="B15" s="18">
        <v>15.6</v>
      </c>
      <c r="C15" s="18"/>
      <c r="D15" s="18"/>
      <c r="E15" s="18"/>
      <c r="F15" s="19" t="s">
        <v>6</v>
      </c>
      <c r="G15" s="2"/>
      <c r="H15" s="286" t="s">
        <v>7</v>
      </c>
      <c r="I15" s="286"/>
      <c r="J15" s="3"/>
      <c r="L15" s="20">
        <v>0.1</v>
      </c>
    </row>
    <row r="16" spans="1:13" ht="18" customHeight="1" x14ac:dyDescent="0.3">
      <c r="B16" s="3"/>
      <c r="C16" s="3"/>
      <c r="D16" s="3"/>
      <c r="E16" s="3"/>
      <c r="F16" s="19" t="s">
        <v>8</v>
      </c>
      <c r="H16" s="276" t="s">
        <v>9</v>
      </c>
      <c r="I16" s="276"/>
      <c r="J16" s="3">
        <f>ROUND(B15*1.1,1)</f>
        <v>17.2</v>
      </c>
    </row>
    <row r="17" spans="1:13" ht="18" customHeight="1" x14ac:dyDescent="0.3">
      <c r="B17" s="3"/>
      <c r="C17" s="3"/>
      <c r="D17" s="3"/>
      <c r="E17" s="3"/>
    </row>
    <row r="18" spans="1:13" ht="19.5" customHeight="1" x14ac:dyDescent="0.3">
      <c r="A18" s="19" t="s">
        <v>10</v>
      </c>
      <c r="B18" s="3"/>
      <c r="C18" s="3"/>
      <c r="D18" s="3"/>
      <c r="E18" s="3"/>
      <c r="F18" s="2"/>
      <c r="H18" s="2"/>
      <c r="J18" s="21" t="str">
        <f>IF(J12&gt;(B15*(1+L15)),"Overvalued",IF(J12&lt;(B15*(1-L15)),"Undervalued","Fairly Valued"))</f>
        <v>Overvalued</v>
      </c>
    </row>
    <row r="19" spans="1:13" ht="18" customHeight="1" x14ac:dyDescent="0.3">
      <c r="A19" s="19"/>
      <c r="B19" s="3"/>
      <c r="C19" s="3"/>
      <c r="D19" s="3"/>
      <c r="E19" s="3"/>
      <c r="F19" s="2"/>
      <c r="H19" s="2"/>
      <c r="J19" s="21"/>
      <c r="K19" s="22"/>
    </row>
    <row r="20" spans="1:13" ht="18" customHeight="1" x14ac:dyDescent="0.3">
      <c r="B20" s="3"/>
      <c r="C20" s="3"/>
      <c r="D20" s="3"/>
      <c r="E20" s="3"/>
      <c r="H20" s="3">
        <f t="shared" ref="H20:I20" si="0">H6</f>
        <v>2025</v>
      </c>
      <c r="I20" s="3">
        <f t="shared" si="0"/>
        <v>2026</v>
      </c>
    </row>
    <row r="21" spans="1:13" ht="18" customHeight="1" x14ac:dyDescent="0.3">
      <c r="A21" s="2" t="s">
        <v>11</v>
      </c>
      <c r="B21" s="3"/>
      <c r="C21" s="3"/>
      <c r="D21" s="3"/>
      <c r="E21" s="3"/>
      <c r="G21" s="23"/>
      <c r="H21" s="23">
        <f>(H7-G7)/G7</f>
        <v>1.538461538461533E-2</v>
      </c>
      <c r="I21" s="23">
        <f>(I7-H7)/H7</f>
        <v>1.5151515151515233E-2</v>
      </c>
      <c r="J21" s="24" t="s">
        <v>12</v>
      </c>
    </row>
    <row r="22" spans="1:13" ht="18" customHeight="1" x14ac:dyDescent="0.3">
      <c r="B22" s="3"/>
      <c r="C22" s="3"/>
      <c r="D22" s="3"/>
      <c r="E22" s="3"/>
      <c r="G22" s="23"/>
      <c r="H22" s="23"/>
      <c r="I22" s="23"/>
      <c r="J22" s="21"/>
    </row>
    <row r="23" spans="1:13" ht="18" customHeight="1" x14ac:dyDescent="0.3">
      <c r="A23" s="14" t="s">
        <v>13</v>
      </c>
      <c r="B23" s="3"/>
      <c r="C23" s="3"/>
      <c r="D23" s="3"/>
      <c r="E23" s="3"/>
      <c r="K23" s="25"/>
    </row>
    <row r="24" spans="1:13" ht="18" customHeight="1" x14ac:dyDescent="0.3">
      <c r="B24" s="3"/>
      <c r="C24" s="3"/>
      <c r="D24" s="3"/>
      <c r="E24" s="3"/>
    </row>
    <row r="25" spans="1:13" ht="18" customHeight="1" x14ac:dyDescent="0.3">
      <c r="A25" s="2" t="s">
        <v>14</v>
      </c>
      <c r="F25" s="16">
        <f>H8</f>
        <v>41.4</v>
      </c>
      <c r="G25" s="17" t="s">
        <v>3</v>
      </c>
      <c r="H25" s="16">
        <f>F3</f>
        <v>1100</v>
      </c>
      <c r="I25" s="3" t="s">
        <v>4</v>
      </c>
      <c r="J25" s="26">
        <f>F25/H25</f>
        <v>3.7636363636363634E-2</v>
      </c>
      <c r="M25" s="27"/>
    </row>
    <row r="26" spans="1:13" ht="18" customHeight="1" x14ac:dyDescent="0.3"/>
    <row r="27" spans="1:13" ht="18" customHeight="1" x14ac:dyDescent="0.3">
      <c r="F27" s="19" t="s">
        <v>15</v>
      </c>
      <c r="H27" s="276" t="s">
        <v>16</v>
      </c>
      <c r="I27" s="276"/>
      <c r="J27" s="28">
        <f>ROUND(B28*1.1,3)</f>
        <v>4.7E-2</v>
      </c>
    </row>
    <row r="28" spans="1:13" ht="18" customHeight="1" x14ac:dyDescent="0.3">
      <c r="A28" s="2" t="s">
        <v>169</v>
      </c>
      <c r="B28" s="26">
        <v>4.2999999999999997E-2</v>
      </c>
      <c r="C28" s="26"/>
      <c r="D28" s="26"/>
      <c r="E28" s="26"/>
      <c r="F28" s="19" t="s">
        <v>6</v>
      </c>
      <c r="G28" s="2"/>
      <c r="H28" s="276" t="s">
        <v>7</v>
      </c>
      <c r="I28" s="276"/>
      <c r="L28" s="20">
        <f>L15</f>
        <v>0.1</v>
      </c>
    </row>
    <row r="29" spans="1:13" ht="18" customHeight="1" x14ac:dyDescent="0.3">
      <c r="F29" s="19" t="s">
        <v>17</v>
      </c>
      <c r="H29" s="276" t="s">
        <v>18</v>
      </c>
      <c r="I29" s="276"/>
      <c r="J29" s="28">
        <f>ROUND(B28*0.9,3)</f>
        <v>3.9E-2</v>
      </c>
      <c r="L29" s="20"/>
    </row>
    <row r="30" spans="1:13" ht="18" customHeight="1" x14ac:dyDescent="0.3">
      <c r="F30" s="26"/>
      <c r="J30" s="21"/>
      <c r="L30" s="20"/>
    </row>
    <row r="31" spans="1:13" ht="18" customHeight="1" x14ac:dyDescent="0.3">
      <c r="A31" s="19" t="s">
        <v>10</v>
      </c>
      <c r="G31" s="2"/>
      <c r="J31" s="21" t="str">
        <f>IF(J25&lt;(B28*(1-L28)),"Overvalued",IF(J25&gt;(B28*(1+L28)),"Undervalued","Fairly Valued"))</f>
        <v>Overvalued</v>
      </c>
      <c r="L31" s="20"/>
    </row>
    <row r="32" spans="1:13" ht="18" customHeight="1" x14ac:dyDescent="0.3">
      <c r="A32" s="19"/>
      <c r="G32" s="2"/>
      <c r="J32" s="21"/>
      <c r="L32" s="20"/>
    </row>
    <row r="33" spans="1:11" ht="18" customHeight="1" x14ac:dyDescent="0.3">
      <c r="B33" s="3"/>
      <c r="C33" s="3"/>
      <c r="D33" s="3"/>
      <c r="E33" s="3"/>
      <c r="H33" s="3">
        <f t="shared" ref="H33:I33" si="1">H6</f>
        <v>2025</v>
      </c>
      <c r="I33" s="3">
        <f t="shared" si="1"/>
        <v>2026</v>
      </c>
    </row>
    <row r="34" spans="1:11" ht="18" customHeight="1" x14ac:dyDescent="0.3">
      <c r="A34" s="2" t="s">
        <v>19</v>
      </c>
      <c r="B34" s="3"/>
      <c r="C34" s="3"/>
      <c r="D34" s="3"/>
      <c r="E34" s="3"/>
      <c r="G34" s="23"/>
      <c r="H34" s="23">
        <f>(H8-G8)/G8</f>
        <v>3.4999999999999962E-2</v>
      </c>
      <c r="I34" s="23">
        <f>(I8-H8)/H8</f>
        <v>3.3816425120772917E-2</v>
      </c>
      <c r="J34" s="24" t="s">
        <v>12</v>
      </c>
    </row>
    <row r="36" spans="1:11" x14ac:dyDescent="0.3">
      <c r="A36" s="14" t="s">
        <v>20</v>
      </c>
      <c r="K36" s="25"/>
    </row>
    <row r="37" spans="1:11" x14ac:dyDescent="0.3">
      <c r="J37" s="29"/>
    </row>
    <row r="38" spans="1:11" ht="32.1" customHeight="1" x14ac:dyDescent="0.3">
      <c r="A38" s="2" t="s">
        <v>21</v>
      </c>
      <c r="J38" s="21" t="s">
        <v>12</v>
      </c>
    </row>
    <row r="39" spans="1:11" ht="32.1" customHeight="1" x14ac:dyDescent="0.3">
      <c r="A39" s="2" t="s">
        <v>22</v>
      </c>
      <c r="J39" s="30" t="s">
        <v>23</v>
      </c>
    </row>
  </sheetData>
  <mergeCells count="9">
    <mergeCell ref="H29:I29"/>
    <mergeCell ref="C5:G5"/>
    <mergeCell ref="H5:I5"/>
    <mergeCell ref="A5:B6"/>
    <mergeCell ref="H14:I14"/>
    <mergeCell ref="H15:I15"/>
    <mergeCell ref="H16:I16"/>
    <mergeCell ref="H27:I27"/>
    <mergeCell ref="H28:I28"/>
  </mergeCells>
  <pageMargins left="0.31496062992126" right="0.31496062992126" top="0.55118110236220497" bottom="0.55118110236220497" header="0.31496062992126" footer="0.31496062992126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1"/>
  <sheetViews>
    <sheetView zoomScale="80" zoomScaleNormal="80" workbookViewId="0">
      <selection activeCell="B17" sqref="B17"/>
    </sheetView>
  </sheetViews>
  <sheetFormatPr defaultColWidth="9.109375" defaultRowHeight="17.399999999999999" x14ac:dyDescent="0.3"/>
  <cols>
    <col min="1" max="1" width="9.109375" style="31"/>
    <col min="2" max="2" width="58.6640625" style="31" customWidth="1"/>
    <col min="3" max="3" width="17.6640625" style="31" customWidth="1"/>
    <col min="4" max="4" width="17.33203125" style="31" customWidth="1"/>
    <col min="5" max="5" width="18.6640625" style="31" customWidth="1"/>
    <col min="6" max="6" width="14.5546875" style="31" customWidth="1"/>
    <col min="7" max="7" width="16.5546875" style="31" customWidth="1"/>
    <col min="8" max="8" width="9.109375" style="31"/>
    <col min="9" max="9" width="12.33203125" style="31" bestFit="1" customWidth="1"/>
    <col min="10" max="16384" width="9.109375" style="31"/>
  </cols>
  <sheetData>
    <row r="2" spans="2:7" x14ac:dyDescent="0.3">
      <c r="B2" s="50" t="s">
        <v>0</v>
      </c>
    </row>
    <row r="4" spans="2:7" x14ac:dyDescent="0.3">
      <c r="B4" s="49" t="s">
        <v>28</v>
      </c>
    </row>
    <row r="6" spans="2:7" ht="18" thickBot="1" x14ac:dyDescent="0.35">
      <c r="B6" s="31" t="s">
        <v>170</v>
      </c>
      <c r="C6" s="32"/>
      <c r="D6" s="48">
        <v>1100</v>
      </c>
      <c r="E6" s="31" t="s">
        <v>27</v>
      </c>
    </row>
    <row r="7" spans="2:7" ht="18" thickTop="1" x14ac:dyDescent="0.3">
      <c r="B7" s="31" t="s">
        <v>26</v>
      </c>
      <c r="C7" s="32"/>
      <c r="D7" s="47">
        <v>50</v>
      </c>
    </row>
    <row r="9" spans="2:7" ht="21.6" thickBot="1" x14ac:dyDescent="0.5">
      <c r="B9" s="32" t="s">
        <v>171</v>
      </c>
      <c r="D9" s="46">
        <f>D6/100*D7</f>
        <v>550</v>
      </c>
    </row>
    <row r="10" spans="2:7" ht="18" thickTop="1" x14ac:dyDescent="0.3">
      <c r="B10" s="32"/>
    </row>
    <row r="12" spans="2:7" ht="21" x14ac:dyDescent="0.45">
      <c r="B12" s="45" t="s">
        <v>25</v>
      </c>
    </row>
    <row r="13" spans="2:7" x14ac:dyDescent="0.3">
      <c r="B13" s="32"/>
    </row>
    <row r="14" spans="2:7" s="41" customFormat="1" ht="25.2" customHeight="1" x14ac:dyDescent="0.3">
      <c r="B14" s="44" t="s">
        <v>172</v>
      </c>
      <c r="C14" s="44">
        <v>2020</v>
      </c>
      <c r="D14" s="44">
        <v>2021</v>
      </c>
      <c r="E14" s="44">
        <v>2022</v>
      </c>
      <c r="F14" s="44">
        <v>2023</v>
      </c>
      <c r="G14" s="44">
        <v>2024</v>
      </c>
    </row>
    <row r="15" spans="2:7" s="41" customFormat="1" ht="25.2" customHeight="1" x14ac:dyDescent="0.3">
      <c r="B15" s="43" t="s">
        <v>173</v>
      </c>
      <c r="C15" s="42">
        <v>34.799999999999997</v>
      </c>
      <c r="D15" s="42">
        <v>36</v>
      </c>
      <c r="E15" s="42">
        <v>37.299999999999997</v>
      </c>
      <c r="F15" s="42">
        <v>38.6</v>
      </c>
      <c r="G15" s="42">
        <v>40</v>
      </c>
    </row>
    <row r="16" spans="2:7" x14ac:dyDescent="0.3">
      <c r="B16" s="32"/>
    </row>
    <row r="17" spans="2:9" ht="34.799999999999997" x14ac:dyDescent="0.3">
      <c r="B17" s="40" t="s">
        <v>174</v>
      </c>
      <c r="D17" s="38">
        <f>((G15/C15)^(1/4))-1</f>
        <v>3.5428672018403606E-2</v>
      </c>
      <c r="E17" s="39"/>
    </row>
    <row r="18" spans="2:9" x14ac:dyDescent="0.3">
      <c r="B18" s="32"/>
      <c r="F18" s="33"/>
    </row>
    <row r="19" spans="2:9" ht="20.399999999999999" thickBot="1" x14ac:dyDescent="0.45">
      <c r="B19" s="31" t="s">
        <v>24</v>
      </c>
      <c r="D19" s="36">
        <f>(G15*(1+D17)/D6)+D17</f>
        <v>7.3080623728163735E-2</v>
      </c>
      <c r="E19" s="37"/>
      <c r="I19" s="35"/>
    </row>
    <row r="20" spans="2:9" ht="18" thickTop="1" x14ac:dyDescent="0.3">
      <c r="B20" s="32"/>
      <c r="F20" s="33"/>
    </row>
    <row r="21" spans="2:9" x14ac:dyDescent="0.3">
      <c r="B21" s="32"/>
      <c r="F21" s="33"/>
    </row>
    <row r="22" spans="2:9" x14ac:dyDescent="0.3">
      <c r="B22" s="32"/>
      <c r="F22" s="33"/>
      <c r="I22" s="34"/>
    </row>
    <row r="23" spans="2:9" x14ac:dyDescent="0.3">
      <c r="B23" s="32"/>
      <c r="F23" s="33"/>
    </row>
    <row r="24" spans="2:9" x14ac:dyDescent="0.3">
      <c r="B24" s="32"/>
      <c r="F24" s="33"/>
    </row>
    <row r="25" spans="2:9" x14ac:dyDescent="0.3">
      <c r="B25" s="32"/>
      <c r="F25" s="33"/>
    </row>
    <row r="26" spans="2:9" x14ac:dyDescent="0.3">
      <c r="B26" s="32"/>
      <c r="F26" s="33"/>
    </row>
    <row r="27" spans="2:9" x14ac:dyDescent="0.3">
      <c r="B27" s="32"/>
    </row>
    <row r="28" spans="2:9" x14ac:dyDescent="0.3">
      <c r="B28" s="32"/>
    </row>
    <row r="29" spans="2:9" x14ac:dyDescent="0.3">
      <c r="B29" s="32"/>
    </row>
    <row r="30" spans="2:9" x14ac:dyDescent="0.3">
      <c r="B30" s="32"/>
    </row>
    <row r="31" spans="2:9" x14ac:dyDescent="0.3">
      <c r="B31" s="32"/>
    </row>
  </sheetData>
  <printOptions horizontalCentered="1"/>
  <pageMargins left="0.15748031496062992" right="0.15748031496062992" top="0.98425196850393704" bottom="0.98425196850393704" header="0.51181102362204722" footer="0.51181102362204722"/>
  <pageSetup paperSize="9" scale="71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topLeftCell="A5" zoomScale="80" zoomScaleNormal="80" workbookViewId="0">
      <selection activeCell="F18" sqref="F18"/>
    </sheetView>
  </sheetViews>
  <sheetFormatPr defaultColWidth="9.109375" defaultRowHeight="18.600000000000001" x14ac:dyDescent="0.3"/>
  <cols>
    <col min="1" max="1" width="9.109375" style="243"/>
    <col min="2" max="2" width="67.109375" style="243" customWidth="1"/>
    <col min="3" max="5" width="16.6640625" style="243" customWidth="1"/>
    <col min="6" max="6" width="18.5546875" style="243" customWidth="1"/>
    <col min="7" max="7" width="1" style="243" customWidth="1"/>
    <col min="8" max="8" width="11" style="243" bestFit="1" customWidth="1"/>
    <col min="9" max="9" width="9.109375" style="243"/>
    <col min="10" max="10" width="13" style="245" customWidth="1"/>
    <col min="11" max="16384" width="9.109375" style="243"/>
  </cols>
  <sheetData>
    <row r="2" spans="2:6" ht="19.2" x14ac:dyDescent="0.35">
      <c r="B2" s="242" t="s">
        <v>0</v>
      </c>
    </row>
    <row r="4" spans="2:6" ht="19.2" x14ac:dyDescent="0.35">
      <c r="B4" s="244" t="s">
        <v>175</v>
      </c>
    </row>
    <row r="6" spans="2:6" x14ac:dyDescent="0.3">
      <c r="B6" s="243" t="s">
        <v>176</v>
      </c>
      <c r="C6" s="245">
        <v>50</v>
      </c>
    </row>
    <row r="7" spans="2:6" ht="19.8" x14ac:dyDescent="0.4">
      <c r="B7" s="246" t="s">
        <v>177</v>
      </c>
      <c r="C7" s="245">
        <v>132</v>
      </c>
    </row>
    <row r="8" spans="2:6" x14ac:dyDescent="0.3">
      <c r="B8" s="243" t="s">
        <v>178</v>
      </c>
      <c r="C8" s="247">
        <v>0.08</v>
      </c>
    </row>
    <row r="9" spans="2:6" x14ac:dyDescent="0.3">
      <c r="B9" s="243" t="s">
        <v>179</v>
      </c>
      <c r="C9" s="245">
        <v>13</v>
      </c>
      <c r="D9" s="243" t="s">
        <v>57</v>
      </c>
    </row>
    <row r="10" spans="2:6" x14ac:dyDescent="0.3">
      <c r="B10" s="243" t="s">
        <v>197</v>
      </c>
      <c r="C10" s="245">
        <v>3</v>
      </c>
    </row>
    <row r="11" spans="2:6" x14ac:dyDescent="0.3">
      <c r="B11" s="246" t="s">
        <v>79</v>
      </c>
      <c r="C11" s="248">
        <v>0.25</v>
      </c>
    </row>
    <row r="12" spans="2:6" x14ac:dyDescent="0.3">
      <c r="C12" s="248"/>
    </row>
    <row r="13" spans="2:6" ht="23.4" thickBot="1" x14ac:dyDescent="0.55000000000000004">
      <c r="B13" s="249" t="s">
        <v>198</v>
      </c>
      <c r="C13" s="271">
        <f>C7/100*C6</f>
        <v>66</v>
      </c>
    </row>
    <row r="14" spans="2:6" ht="19.8" thickTop="1" x14ac:dyDescent="0.35">
      <c r="B14" s="249"/>
    </row>
    <row r="16" spans="2:6" ht="21" x14ac:dyDescent="0.5">
      <c r="B16" s="287" t="s">
        <v>180</v>
      </c>
      <c r="C16" s="288"/>
      <c r="D16" s="288"/>
      <c r="E16" s="288"/>
      <c r="F16" s="288"/>
    </row>
    <row r="18" spans="2:10" ht="19.8" thickBot="1" x14ac:dyDescent="0.4">
      <c r="B18" s="251" t="s">
        <v>188</v>
      </c>
      <c r="C18" s="252"/>
      <c r="D18" s="252"/>
      <c r="E18" s="252"/>
      <c r="F18" s="253">
        <f ca="1">YIELD(F20,F22,F24,F27,F29,2,0)*(1-F25)</f>
        <v>3.5139875648044348E-2</v>
      </c>
      <c r="G18" s="253"/>
    </row>
    <row r="19" spans="2:10" ht="19.8" thickTop="1" x14ac:dyDescent="0.35">
      <c r="B19" s="250"/>
      <c r="C19" s="254"/>
      <c r="D19" s="249"/>
    </row>
    <row r="20" spans="2:10" ht="19.2" x14ac:dyDescent="0.35">
      <c r="B20" s="252" t="s">
        <v>181</v>
      </c>
      <c r="F20" s="255">
        <f ca="1">TODAY()</f>
        <v>45827</v>
      </c>
      <c r="J20" s="256"/>
    </row>
    <row r="21" spans="2:10" x14ac:dyDescent="0.3">
      <c r="B21" s="243" t="s">
        <v>182</v>
      </c>
      <c r="F21" s="257">
        <f>C9</f>
        <v>13</v>
      </c>
    </row>
    <row r="22" spans="2:10" ht="19.2" x14ac:dyDescent="0.35">
      <c r="B22" s="252" t="s">
        <v>183</v>
      </c>
      <c r="F22" s="258">
        <f ca="1">EDATE(TODAY(),C9*12)</f>
        <v>50575</v>
      </c>
      <c r="G22" s="258"/>
      <c r="H22" s="259"/>
    </row>
    <row r="24" spans="2:10" x14ac:dyDescent="0.3">
      <c r="B24" s="243" t="s">
        <v>184</v>
      </c>
      <c r="F24" s="260">
        <f>C8</f>
        <v>0.08</v>
      </c>
    </row>
    <row r="25" spans="2:10" x14ac:dyDescent="0.3">
      <c r="B25" s="243" t="s">
        <v>185</v>
      </c>
      <c r="F25" s="261">
        <f>C11</f>
        <v>0.25</v>
      </c>
    </row>
    <row r="27" spans="2:10" ht="19.2" x14ac:dyDescent="0.35">
      <c r="B27" s="252" t="s">
        <v>199</v>
      </c>
      <c r="F27" s="272">
        <f>C7</f>
        <v>132</v>
      </c>
    </row>
    <row r="28" spans="2:10" x14ac:dyDescent="0.3">
      <c r="F28" s="245"/>
    </row>
    <row r="29" spans="2:10" ht="19.2" x14ac:dyDescent="0.35">
      <c r="B29" s="252" t="s">
        <v>186</v>
      </c>
      <c r="F29" s="245">
        <v>100</v>
      </c>
    </row>
    <row r="30" spans="2:10" x14ac:dyDescent="0.3">
      <c r="F30" s="245"/>
    </row>
    <row r="31" spans="2:10" ht="19.2" x14ac:dyDescent="0.35">
      <c r="B31" s="252" t="s">
        <v>187</v>
      </c>
      <c r="F31" s="245">
        <v>2</v>
      </c>
    </row>
    <row r="33" spans="3:10" x14ac:dyDescent="0.3">
      <c r="H33" s="259"/>
    </row>
    <row r="35" spans="3:10" x14ac:dyDescent="0.3">
      <c r="J35" s="243"/>
    </row>
    <row r="36" spans="3:10" x14ac:dyDescent="0.3">
      <c r="C36" s="275"/>
      <c r="D36" s="273"/>
    </row>
  </sheetData>
  <mergeCells count="1">
    <mergeCell ref="B16:F16"/>
  </mergeCells>
  <printOptions horizontalCentered="1"/>
  <pageMargins left="0.55118110236220474" right="0.55118110236220474" top="0.98425196850393704" bottom="0.98425196850393704" header="0.51181102362204722" footer="0.51181102362204722"/>
  <pageSetup paperSize="9"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3"/>
  <sheetViews>
    <sheetView zoomScale="70" zoomScaleNormal="70" workbookViewId="0">
      <selection activeCell="B2" sqref="B2:G13"/>
    </sheetView>
  </sheetViews>
  <sheetFormatPr defaultColWidth="9.109375" defaultRowHeight="22.8" x14ac:dyDescent="0.4"/>
  <cols>
    <col min="1" max="1" width="9.109375" style="52"/>
    <col min="2" max="2" width="47.44140625" style="52" customWidth="1"/>
    <col min="3" max="3" width="23.109375" style="52" customWidth="1"/>
    <col min="4" max="4" width="4.5546875" style="53" customWidth="1"/>
    <col min="5" max="5" width="25.5546875" style="52" customWidth="1"/>
    <col min="6" max="6" width="5.6640625" style="52" customWidth="1"/>
    <col min="7" max="7" width="24.5546875" style="52" customWidth="1"/>
    <col min="8" max="8" width="9.109375" style="52"/>
    <col min="9" max="9" width="11.33203125" style="52" bestFit="1" customWidth="1"/>
    <col min="10" max="16384" width="9.109375" style="52"/>
  </cols>
  <sheetData>
    <row r="2" spans="2:9" x14ac:dyDescent="0.4">
      <c r="B2" s="51" t="s">
        <v>0</v>
      </c>
    </row>
    <row r="4" spans="2:9" x14ac:dyDescent="0.4">
      <c r="B4" s="54" t="s">
        <v>29</v>
      </c>
    </row>
    <row r="5" spans="2:9" x14ac:dyDescent="0.4">
      <c r="G5" s="55" t="s">
        <v>30</v>
      </c>
    </row>
    <row r="6" spans="2:9" ht="90.75" customHeight="1" x14ac:dyDescent="0.45">
      <c r="B6" s="54" t="s">
        <v>31</v>
      </c>
      <c r="C6" s="56" t="s">
        <v>32</v>
      </c>
      <c r="D6" s="57"/>
      <c r="E6" s="56" t="s">
        <v>33</v>
      </c>
      <c r="G6" s="58" t="s">
        <v>34</v>
      </c>
    </row>
    <row r="7" spans="2:9" x14ac:dyDescent="0.4">
      <c r="B7" s="59"/>
      <c r="C7" s="60"/>
      <c r="D7" s="60"/>
      <c r="E7" s="60"/>
      <c r="F7" s="61"/>
      <c r="G7" s="62"/>
    </row>
    <row r="8" spans="2:9" x14ac:dyDescent="0.4">
      <c r="C8" s="63"/>
      <c r="D8" s="64"/>
      <c r="E8" s="63"/>
      <c r="G8" s="65"/>
    </row>
    <row r="9" spans="2:9" x14ac:dyDescent="0.4">
      <c r="B9" s="52" t="s">
        <v>28</v>
      </c>
      <c r="C9" s="66">
        <f>'Cost of Equity'!D9</f>
        <v>550</v>
      </c>
      <c r="D9" s="64"/>
      <c r="E9" s="67">
        <f>'Cost of Equity'!D19</f>
        <v>7.3080623728163735E-2</v>
      </c>
      <c r="F9" s="68"/>
      <c r="G9" s="69">
        <f>ROUND((C9/$C$13*E9),3)</f>
        <v>6.5000000000000002E-2</v>
      </c>
      <c r="I9" s="70"/>
    </row>
    <row r="10" spans="2:9" x14ac:dyDescent="0.4">
      <c r="C10" s="66"/>
      <c r="D10" s="64"/>
      <c r="E10" s="71"/>
      <c r="F10" s="68"/>
      <c r="G10" s="69"/>
    </row>
    <row r="11" spans="2:9" x14ac:dyDescent="0.4">
      <c r="B11" s="52" t="s">
        <v>35</v>
      </c>
      <c r="C11" s="66">
        <f>'Debt Capital'!C13</f>
        <v>66</v>
      </c>
      <c r="D11" s="64"/>
      <c r="E11" s="67">
        <f ca="1">'Debt Capital'!F18</f>
        <v>3.5139875648044348E-2</v>
      </c>
      <c r="F11" s="68"/>
      <c r="G11" s="69">
        <f ca="1">ROUND((C11/$C$13*E11),3)</f>
        <v>4.0000000000000001E-3</v>
      </c>
    </row>
    <row r="12" spans="2:9" x14ac:dyDescent="0.4">
      <c r="C12" s="66"/>
      <c r="D12" s="64"/>
      <c r="E12" s="71"/>
      <c r="F12" s="68"/>
      <c r="G12" s="69"/>
    </row>
    <row r="13" spans="2:9" s="78" customFormat="1" ht="42" customHeight="1" thickBot="1" x14ac:dyDescent="0.35">
      <c r="B13" s="72" t="s">
        <v>36</v>
      </c>
      <c r="C13" s="73">
        <f>SUM(C9:C11)</f>
        <v>616</v>
      </c>
      <c r="D13" s="74"/>
      <c r="E13" s="75" t="s">
        <v>37</v>
      </c>
      <c r="F13" s="76"/>
      <c r="G13" s="77">
        <f ca="1">SUM(G9:G11)</f>
        <v>6.9000000000000006E-2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6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9"/>
  <sheetViews>
    <sheetView zoomScale="80" zoomScaleNormal="80" workbookViewId="0">
      <selection activeCell="A6" sqref="A6:XFD6"/>
    </sheetView>
  </sheetViews>
  <sheetFormatPr defaultColWidth="9.109375" defaultRowHeight="17.399999999999999" x14ac:dyDescent="0.3"/>
  <cols>
    <col min="1" max="1" width="4.33203125" style="31" customWidth="1"/>
    <col min="2" max="2" width="10.88671875" style="31" customWidth="1"/>
    <col min="3" max="3" width="16.5546875" style="31" customWidth="1"/>
    <col min="4" max="4" width="16.6640625" style="96" customWidth="1"/>
    <col min="5" max="5" width="15.33203125" style="31" customWidth="1"/>
    <col min="6" max="6" width="4.21875" style="33" customWidth="1"/>
    <col min="7" max="8" width="17.5546875" style="31" customWidth="1"/>
    <col min="9" max="9" width="17.44140625" style="31" customWidth="1"/>
    <col min="10" max="10" width="15.44140625" style="31" customWidth="1"/>
    <col min="11" max="11" width="3.33203125" style="82" customWidth="1"/>
    <col min="12" max="12" width="18.44140625" style="31" customWidth="1"/>
    <col min="13" max="13" width="14.33203125" style="31" customWidth="1"/>
    <col min="14" max="14" width="15.6640625" style="33" customWidth="1"/>
    <col min="15" max="16384" width="9.109375" style="31"/>
  </cols>
  <sheetData>
    <row r="2" spans="2:14" ht="21" x14ac:dyDescent="0.4">
      <c r="B2" s="79" t="s">
        <v>38</v>
      </c>
      <c r="C2" s="80"/>
      <c r="D2" s="81"/>
    </row>
    <row r="4" spans="2:14" ht="96" customHeight="1" x14ac:dyDescent="0.3">
      <c r="B4" s="83" t="s">
        <v>39</v>
      </c>
      <c r="C4" s="84" t="s">
        <v>40</v>
      </c>
      <c r="D4" s="84" t="s">
        <v>41</v>
      </c>
      <c r="E4" s="84" t="s">
        <v>42</v>
      </c>
      <c r="F4" s="85"/>
      <c r="G4" s="84" t="s">
        <v>43</v>
      </c>
      <c r="H4" s="84" t="s">
        <v>44</v>
      </c>
      <c r="I4" s="84" t="s">
        <v>45</v>
      </c>
      <c r="J4" s="86" t="s">
        <v>46</v>
      </c>
      <c r="K4" s="87"/>
      <c r="L4" s="84" t="s">
        <v>47</v>
      </c>
      <c r="M4" s="84" t="s">
        <v>48</v>
      </c>
      <c r="N4" s="44" t="s">
        <v>49</v>
      </c>
    </row>
    <row r="5" spans="2:14" s="95" customFormat="1" ht="75" customHeight="1" x14ac:dyDescent="0.3">
      <c r="B5" s="44" t="s">
        <v>50</v>
      </c>
      <c r="C5" s="88" t="s">
        <v>51</v>
      </c>
      <c r="D5" s="89">
        <f>'Investment Appraisal'!E9/'Investment Appraisal'!E8/1000000</f>
        <v>3.5169988276670576</v>
      </c>
      <c r="E5" s="43" t="s">
        <v>52</v>
      </c>
      <c r="F5" s="90"/>
      <c r="G5" s="88" t="s">
        <v>53</v>
      </c>
      <c r="H5" s="88" t="s">
        <v>12</v>
      </c>
      <c r="I5" s="88" t="s">
        <v>12</v>
      </c>
      <c r="J5" s="91" t="s">
        <v>53</v>
      </c>
      <c r="K5" s="87"/>
      <c r="L5" s="92">
        <f ca="1">WACC!G13</f>
        <v>6.9000000000000006E-2</v>
      </c>
      <c r="M5" s="93">
        <f>'Investment Appraisal'!E81</f>
        <v>0.14470381881964811</v>
      </c>
      <c r="N5" s="94" t="s">
        <v>54</v>
      </c>
    </row>
    <row r="6" spans="2:14" x14ac:dyDescent="0.3">
      <c r="D6" s="270">
        <f>D5/WACC!C13</f>
        <v>5.7094136812776914E-3</v>
      </c>
      <c r="G6" s="31" t="s">
        <v>201</v>
      </c>
    </row>
    <row r="7" spans="2:14" x14ac:dyDescent="0.3">
      <c r="G7" s="31" t="s">
        <v>194</v>
      </c>
    </row>
    <row r="8" spans="2:14" x14ac:dyDescent="0.3">
      <c r="G8" s="31" t="s">
        <v>195</v>
      </c>
    </row>
    <row r="9" spans="2:14" x14ac:dyDescent="0.3">
      <c r="G9" s="31" t="s">
        <v>196</v>
      </c>
    </row>
  </sheetData>
  <printOptions horizontalCentered="1"/>
  <pageMargins left="0.35433070866141736" right="0.35433070866141736" top="0.98425196850393704" bottom="0.98425196850393704" header="0.51181102362204722" footer="0.51181102362204722"/>
  <pageSetup paperSize="9" scale="7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7"/>
  <sheetViews>
    <sheetView showGridLines="0" tabSelected="1" zoomScale="90" zoomScaleNormal="90" workbookViewId="0">
      <selection activeCell="J12" sqref="J12"/>
    </sheetView>
  </sheetViews>
  <sheetFormatPr defaultColWidth="9.109375" defaultRowHeight="14.4" x14ac:dyDescent="0.3"/>
  <cols>
    <col min="1" max="1" width="5.5546875" style="99" customWidth="1"/>
    <col min="2" max="2" width="24.6640625" style="114" customWidth="1"/>
    <col min="3" max="3" width="9.44140625" style="114" customWidth="1"/>
    <col min="4" max="4" width="10.5546875" style="98" bestFit="1" customWidth="1"/>
    <col min="5" max="5" width="18.21875" style="99" customWidth="1"/>
    <col min="6" max="8" width="12.6640625" style="99" customWidth="1"/>
    <col min="9" max="9" width="12.33203125" style="99" customWidth="1"/>
    <col min="10" max="13" width="10.88671875" style="99" bestFit="1" customWidth="1"/>
    <col min="14" max="14" width="11.109375" style="99" bestFit="1" customWidth="1"/>
    <col min="15" max="15" width="10.6640625" style="99" customWidth="1"/>
    <col min="16" max="16" width="16.5546875" style="99" bestFit="1" customWidth="1"/>
    <col min="17" max="16384" width="9.109375" style="99"/>
  </cols>
  <sheetData>
    <row r="1" spans="2:10" ht="18" x14ac:dyDescent="0.35">
      <c r="B1" s="97"/>
      <c r="C1" s="97"/>
    </row>
    <row r="2" spans="2:10" ht="22.8" x14ac:dyDescent="0.4">
      <c r="B2" s="51" t="s">
        <v>0</v>
      </c>
      <c r="C2" s="100"/>
    </row>
    <row r="3" spans="2:10" ht="15.6" x14ac:dyDescent="0.3">
      <c r="B3" s="101" t="s">
        <v>38</v>
      </c>
      <c r="C3" s="101"/>
    </row>
    <row r="5" spans="2:10" ht="15" customHeight="1" x14ac:dyDescent="0.3">
      <c r="B5" s="102" t="s">
        <v>55</v>
      </c>
      <c r="C5" s="102"/>
      <c r="D5" s="103"/>
    </row>
    <row r="6" spans="2:10" ht="15" customHeight="1" x14ac:dyDescent="0.3">
      <c r="B6" s="99"/>
      <c r="C6" s="99"/>
    </row>
    <row r="7" spans="2:10" ht="15" customHeight="1" x14ac:dyDescent="0.3">
      <c r="B7" s="99" t="s">
        <v>56</v>
      </c>
      <c r="C7" s="99"/>
      <c r="E7" s="98">
        <v>10</v>
      </c>
      <c r="F7" s="99" t="s">
        <v>57</v>
      </c>
    </row>
    <row r="8" spans="2:10" ht="15" customHeight="1" x14ac:dyDescent="0.3">
      <c r="B8" s="99" t="s">
        <v>58</v>
      </c>
      <c r="C8" s="99"/>
      <c r="E8" s="104">
        <v>0.85299999999999998</v>
      </c>
      <c r="F8" s="105"/>
    </row>
    <row r="9" spans="2:10" ht="15" customHeight="1" x14ac:dyDescent="0.3">
      <c r="B9" s="99" t="s">
        <v>59</v>
      </c>
      <c r="C9" s="99"/>
      <c r="E9" s="106">
        <v>3000000</v>
      </c>
      <c r="F9" s="99" t="s">
        <v>60</v>
      </c>
      <c r="I9" s="107">
        <f>E9/E8</f>
        <v>3516998.8276670575</v>
      </c>
    </row>
    <row r="10" spans="2:10" ht="15" customHeight="1" x14ac:dyDescent="0.3">
      <c r="B10" s="99" t="s">
        <v>61</v>
      </c>
      <c r="C10" s="99"/>
      <c r="E10" s="106">
        <v>150000</v>
      </c>
      <c r="F10" s="99" t="s">
        <v>62</v>
      </c>
    </row>
    <row r="11" spans="2:10" ht="15" customHeight="1" x14ac:dyDescent="0.3">
      <c r="B11" s="99" t="s">
        <v>63</v>
      </c>
      <c r="C11" s="99"/>
      <c r="E11" s="106">
        <v>200000</v>
      </c>
      <c r="F11" s="99" t="s">
        <v>64</v>
      </c>
    </row>
    <row r="12" spans="2:10" s="108" customFormat="1" ht="15" customHeight="1" x14ac:dyDescent="0.3">
      <c r="B12" s="108" t="s">
        <v>65</v>
      </c>
      <c r="D12" s="109"/>
      <c r="E12" s="110">
        <v>0.2</v>
      </c>
      <c r="J12" s="111"/>
    </row>
    <row r="13" spans="2:10" s="108" customFormat="1" ht="15" customHeight="1" x14ac:dyDescent="0.3">
      <c r="D13" s="109"/>
      <c r="E13" s="110"/>
      <c r="J13" s="111"/>
    </row>
    <row r="14" spans="2:10" ht="15" customHeight="1" x14ac:dyDescent="0.3">
      <c r="B14" s="108" t="s">
        <v>66</v>
      </c>
      <c r="C14" s="108"/>
      <c r="E14" s="106">
        <v>15000</v>
      </c>
      <c r="F14" s="99" t="s">
        <v>67</v>
      </c>
      <c r="J14" s="112"/>
    </row>
    <row r="15" spans="2:10" ht="15" customHeight="1" x14ac:dyDescent="0.3">
      <c r="B15" s="99" t="s">
        <v>68</v>
      </c>
      <c r="C15" s="99"/>
      <c r="E15" s="106">
        <v>100</v>
      </c>
      <c r="J15" s="112"/>
    </row>
    <row r="16" spans="2:10" ht="15" customHeight="1" x14ac:dyDescent="0.3">
      <c r="B16" s="99" t="s">
        <v>69</v>
      </c>
      <c r="C16" s="99"/>
      <c r="E16" s="106">
        <f>E14*E15</f>
        <v>1500000</v>
      </c>
      <c r="F16" s="99" t="s">
        <v>70</v>
      </c>
    </row>
    <row r="17" spans="2:10" ht="15" customHeight="1" x14ac:dyDescent="0.3">
      <c r="B17" s="99"/>
      <c r="C17" s="99"/>
      <c r="E17" s="106"/>
    </row>
    <row r="18" spans="2:10" ht="15" customHeight="1" x14ac:dyDescent="0.3">
      <c r="B18" s="99" t="s">
        <v>71</v>
      </c>
      <c r="C18" s="99"/>
      <c r="E18" s="106">
        <v>50</v>
      </c>
    </row>
    <row r="19" spans="2:10" ht="15" customHeight="1" x14ac:dyDescent="0.3">
      <c r="B19" s="99" t="s">
        <v>72</v>
      </c>
      <c r="C19" s="99"/>
      <c r="E19" s="106">
        <f>E18*E14</f>
        <v>750000</v>
      </c>
      <c r="F19" s="99" t="s">
        <v>73</v>
      </c>
    </row>
    <row r="20" spans="2:10" ht="15" customHeight="1" x14ac:dyDescent="0.3">
      <c r="B20" s="99"/>
      <c r="C20" s="99"/>
      <c r="E20" s="106"/>
    </row>
    <row r="21" spans="2:10" ht="15" customHeight="1" x14ac:dyDescent="0.3">
      <c r="B21" s="99" t="s">
        <v>74</v>
      </c>
      <c r="C21" s="99"/>
      <c r="E21" s="106">
        <v>120000</v>
      </c>
      <c r="F21" s="99" t="s">
        <v>75</v>
      </c>
    </row>
    <row r="22" spans="2:10" ht="15" customHeight="1" x14ac:dyDescent="0.3">
      <c r="B22" s="99" t="s">
        <v>76</v>
      </c>
      <c r="C22" s="99"/>
      <c r="E22" s="106">
        <v>325000</v>
      </c>
      <c r="F22" s="99" t="s">
        <v>77</v>
      </c>
    </row>
    <row r="23" spans="2:10" ht="15" customHeight="1" x14ac:dyDescent="0.3">
      <c r="B23" s="99"/>
      <c r="C23" s="99"/>
      <c r="E23" s="106"/>
    </row>
    <row r="24" spans="2:10" ht="15" customHeight="1" x14ac:dyDescent="0.3">
      <c r="B24" s="99" t="s">
        <v>78</v>
      </c>
      <c r="C24" s="99"/>
      <c r="E24" s="113">
        <v>0.25</v>
      </c>
      <c r="J24" s="112"/>
    </row>
    <row r="25" spans="2:10" ht="15" customHeight="1" x14ac:dyDescent="0.3">
      <c r="B25" s="99" t="s">
        <v>79</v>
      </c>
      <c r="C25" s="99"/>
      <c r="E25" s="113">
        <v>0.25</v>
      </c>
      <c r="J25" s="112"/>
    </row>
    <row r="26" spans="2:10" ht="15" customHeight="1" x14ac:dyDescent="0.3">
      <c r="B26" s="114" t="s">
        <v>80</v>
      </c>
      <c r="E26" s="263">
        <v>2.01E-2</v>
      </c>
      <c r="J26" s="112"/>
    </row>
    <row r="27" spans="2:10" ht="15" customHeight="1" x14ac:dyDescent="0.3">
      <c r="B27" s="262" t="s">
        <v>189</v>
      </c>
      <c r="E27" s="263">
        <v>3.5000000000000003E-2</v>
      </c>
      <c r="J27" s="112"/>
    </row>
    <row r="28" spans="2:10" ht="15" customHeight="1" x14ac:dyDescent="0.3">
      <c r="B28" s="114" t="s">
        <v>81</v>
      </c>
      <c r="E28" s="115">
        <f ca="1">WACC!G13</f>
        <v>6.9000000000000006E-2</v>
      </c>
      <c r="F28" s="99" t="s">
        <v>82</v>
      </c>
      <c r="H28" s="116" t="s">
        <v>83</v>
      </c>
      <c r="J28" s="112"/>
    </row>
    <row r="29" spans="2:10" ht="15" customHeight="1" x14ac:dyDescent="0.3">
      <c r="J29" s="112"/>
    </row>
    <row r="30" spans="2:10" ht="15" customHeight="1" x14ac:dyDescent="0.3">
      <c r="B30" s="117" t="s">
        <v>84</v>
      </c>
      <c r="J30" s="112"/>
    </row>
    <row r="31" spans="2:10" ht="15" customHeight="1" x14ac:dyDescent="0.3">
      <c r="B31" s="114" t="s">
        <v>85</v>
      </c>
      <c r="E31" s="106">
        <f>E9</f>
        <v>3000000</v>
      </c>
      <c r="J31" s="112"/>
    </row>
    <row r="32" spans="2:10" ht="15" customHeight="1" x14ac:dyDescent="0.3">
      <c r="B32" s="114" t="s">
        <v>86</v>
      </c>
      <c r="E32" s="118">
        <f>-E10</f>
        <v>-150000</v>
      </c>
      <c r="J32" s="112"/>
    </row>
    <row r="33" spans="2:16" ht="15" customHeight="1" x14ac:dyDescent="0.3">
      <c r="B33" s="114" t="s">
        <v>87</v>
      </c>
      <c r="E33" s="106">
        <f>SUM(E31:E32)</f>
        <v>2850000</v>
      </c>
      <c r="J33" s="112"/>
    </row>
    <row r="34" spans="2:16" ht="15" customHeight="1" x14ac:dyDescent="0.3">
      <c r="B34" s="114" t="s">
        <v>88</v>
      </c>
      <c r="E34" s="106">
        <v>10</v>
      </c>
      <c r="J34" s="112"/>
    </row>
    <row r="35" spans="2:16" ht="15" customHeight="1" thickBot="1" x14ac:dyDescent="0.35">
      <c r="B35" s="114" t="s">
        <v>89</v>
      </c>
      <c r="E35" s="119">
        <f>E33/E34</f>
        <v>285000</v>
      </c>
      <c r="J35" s="112"/>
    </row>
    <row r="36" spans="2:16" ht="15" customHeight="1" x14ac:dyDescent="0.3">
      <c r="J36" s="112"/>
    </row>
    <row r="37" spans="2:16" ht="15" customHeight="1" x14ac:dyDescent="0.3">
      <c r="B37" s="114" t="s">
        <v>90</v>
      </c>
      <c r="E37" s="106">
        <f>E22</f>
        <v>325000</v>
      </c>
      <c r="J37" s="112"/>
    </row>
    <row r="38" spans="2:16" ht="15" customHeight="1" x14ac:dyDescent="0.3">
      <c r="B38" s="114" t="s">
        <v>91</v>
      </c>
      <c r="E38" s="106">
        <f>-E35</f>
        <v>-285000</v>
      </c>
      <c r="J38" s="112"/>
    </row>
    <row r="39" spans="2:16" ht="15" customHeight="1" x14ac:dyDescent="0.3">
      <c r="B39" s="120" t="s">
        <v>92</v>
      </c>
      <c r="C39" s="120"/>
      <c r="E39" s="121">
        <f>SUM(E37:E38)</f>
        <v>40000</v>
      </c>
      <c r="J39" s="112"/>
    </row>
    <row r="40" spans="2:16" ht="15" customHeight="1" x14ac:dyDescent="0.3">
      <c r="B40" s="99"/>
      <c r="C40" s="99"/>
      <c r="D40" s="99"/>
      <c r="J40" s="112"/>
    </row>
    <row r="41" spans="2:16" ht="15" customHeight="1" x14ac:dyDescent="0.3">
      <c r="B41" s="99"/>
      <c r="C41" s="122"/>
      <c r="J41" s="112"/>
    </row>
    <row r="42" spans="2:16" ht="15" customHeight="1" x14ac:dyDescent="0.3">
      <c r="B42" s="122" t="s">
        <v>93</v>
      </c>
      <c r="J42" s="112"/>
    </row>
    <row r="43" spans="2:16" ht="15" customHeight="1" x14ac:dyDescent="0.3">
      <c r="B43" s="120" t="s">
        <v>94</v>
      </c>
      <c r="C43" s="120"/>
      <c r="D43" s="112"/>
      <c r="E43" s="112"/>
      <c r="F43" s="123">
        <v>1</v>
      </c>
      <c r="G43" s="123">
        <v>2</v>
      </c>
      <c r="H43" s="123">
        <v>3</v>
      </c>
      <c r="I43" s="123">
        <v>4</v>
      </c>
      <c r="J43" s="123">
        <v>5</v>
      </c>
      <c r="K43" s="123">
        <v>6</v>
      </c>
      <c r="L43" s="123">
        <v>7</v>
      </c>
      <c r="M43" s="123">
        <v>8</v>
      </c>
      <c r="N43" s="123">
        <v>9</v>
      </c>
      <c r="O43" s="123">
        <v>10</v>
      </c>
      <c r="P43" s="123"/>
    </row>
    <row r="44" spans="2:16" ht="15" customHeight="1" x14ac:dyDescent="0.3">
      <c r="B44" s="114" t="s">
        <v>95</v>
      </c>
      <c r="D44" s="112"/>
      <c r="E44" s="112"/>
      <c r="F44" s="124">
        <f>E9</f>
        <v>3000000</v>
      </c>
      <c r="G44" s="124">
        <f>F46</f>
        <v>2400000</v>
      </c>
      <c r="H44" s="124">
        <f t="shared" ref="H44:N44" si="0">G46</f>
        <v>1920000</v>
      </c>
      <c r="I44" s="124">
        <f t="shared" si="0"/>
        <v>1536000</v>
      </c>
      <c r="J44" s="124">
        <f t="shared" si="0"/>
        <v>1228800</v>
      </c>
      <c r="K44" s="124">
        <f t="shared" si="0"/>
        <v>983040</v>
      </c>
      <c r="L44" s="124">
        <f t="shared" si="0"/>
        <v>786432</v>
      </c>
      <c r="M44" s="124">
        <f t="shared" si="0"/>
        <v>629145.59999999998</v>
      </c>
      <c r="N44" s="124">
        <f t="shared" si="0"/>
        <v>503316.47999999998</v>
      </c>
      <c r="O44" s="124">
        <f>N46</f>
        <v>402653.18400000001</v>
      </c>
      <c r="P44" s="124"/>
    </row>
    <row r="45" spans="2:16" ht="15" customHeight="1" x14ac:dyDescent="0.3">
      <c r="B45" s="108" t="s">
        <v>96</v>
      </c>
      <c r="C45" s="108"/>
      <c r="D45" s="125">
        <f>E12</f>
        <v>0.2</v>
      </c>
      <c r="E45" s="112"/>
      <c r="F45" s="126">
        <f>F44*-$D$45</f>
        <v>-600000</v>
      </c>
      <c r="G45" s="126">
        <f>G44*-$D$45</f>
        <v>-480000</v>
      </c>
      <c r="H45" s="126">
        <f t="shared" ref="H45:N45" si="1">H44*-$D$45</f>
        <v>-384000</v>
      </c>
      <c r="I45" s="126">
        <f t="shared" si="1"/>
        <v>-307200</v>
      </c>
      <c r="J45" s="126">
        <f t="shared" si="1"/>
        <v>-245760</v>
      </c>
      <c r="K45" s="126">
        <f t="shared" si="1"/>
        <v>-196608</v>
      </c>
      <c r="L45" s="126">
        <f t="shared" si="1"/>
        <v>-157286.40000000002</v>
      </c>
      <c r="M45" s="126">
        <f t="shared" si="1"/>
        <v>-125829.12</v>
      </c>
      <c r="N45" s="126">
        <f t="shared" si="1"/>
        <v>-100663.296</v>
      </c>
      <c r="O45" s="126">
        <f>O46-O44</f>
        <v>-252653.18400000001</v>
      </c>
      <c r="P45" s="124"/>
    </row>
    <row r="46" spans="2:16" ht="15" customHeight="1" x14ac:dyDescent="0.3">
      <c r="B46" s="114" t="s">
        <v>97</v>
      </c>
      <c r="D46" s="112"/>
      <c r="E46" s="112"/>
      <c r="F46" s="124">
        <f>SUM(F44:F45)</f>
        <v>2400000</v>
      </c>
      <c r="G46" s="124">
        <f t="shared" ref="G46:N46" si="2">SUM(G44:G45)</f>
        <v>1920000</v>
      </c>
      <c r="H46" s="124">
        <f t="shared" si="2"/>
        <v>1536000</v>
      </c>
      <c r="I46" s="124">
        <f t="shared" si="2"/>
        <v>1228800</v>
      </c>
      <c r="J46" s="124">
        <f t="shared" si="2"/>
        <v>983040</v>
      </c>
      <c r="K46" s="124">
        <f t="shared" si="2"/>
        <v>786432</v>
      </c>
      <c r="L46" s="124">
        <f t="shared" si="2"/>
        <v>629145.59999999998</v>
      </c>
      <c r="M46" s="124">
        <f t="shared" si="2"/>
        <v>503316.47999999998</v>
      </c>
      <c r="N46" s="124">
        <f t="shared" si="2"/>
        <v>402653.18400000001</v>
      </c>
      <c r="O46" s="127">
        <f>E10</f>
        <v>150000</v>
      </c>
      <c r="P46" s="128" t="s">
        <v>98</v>
      </c>
    </row>
    <row r="47" spans="2:16" ht="15" customHeight="1" x14ac:dyDescent="0.3">
      <c r="D47" s="112"/>
      <c r="E47" s="112"/>
      <c r="F47" s="124"/>
      <c r="G47" s="124"/>
      <c r="H47" s="124"/>
      <c r="I47" s="124"/>
      <c r="J47" s="112"/>
    </row>
    <row r="48" spans="2:16" ht="15" customHeight="1" thickBot="1" x14ac:dyDescent="0.35">
      <c r="B48" s="120" t="s">
        <v>99</v>
      </c>
      <c r="C48" s="120"/>
      <c r="D48" s="125">
        <f>E24</f>
        <v>0.25</v>
      </c>
      <c r="E48" s="123" t="s">
        <v>100</v>
      </c>
      <c r="F48" s="129">
        <f>F45*-$D$48</f>
        <v>150000</v>
      </c>
      <c r="G48" s="129">
        <f t="shared" ref="G48:O48" si="3">G45*-$D$48</f>
        <v>120000</v>
      </c>
      <c r="H48" s="129">
        <f t="shared" si="3"/>
        <v>96000</v>
      </c>
      <c r="I48" s="129">
        <f t="shared" si="3"/>
        <v>76800</v>
      </c>
      <c r="J48" s="129">
        <f t="shared" si="3"/>
        <v>61440</v>
      </c>
      <c r="K48" s="129">
        <f t="shared" si="3"/>
        <v>49152</v>
      </c>
      <c r="L48" s="129">
        <f t="shared" si="3"/>
        <v>39321.600000000006</v>
      </c>
      <c r="M48" s="129">
        <f t="shared" si="3"/>
        <v>31457.279999999999</v>
      </c>
      <c r="N48" s="129">
        <f t="shared" si="3"/>
        <v>25165.824000000001</v>
      </c>
      <c r="O48" s="129">
        <f t="shared" si="3"/>
        <v>63163.296000000002</v>
      </c>
    </row>
    <row r="49" spans="2:16" ht="15" customHeight="1" x14ac:dyDescent="0.3">
      <c r="D49" s="112"/>
      <c r="E49" s="112"/>
      <c r="F49" s="112"/>
      <c r="G49" s="112"/>
      <c r="H49" s="112"/>
      <c r="I49" s="112"/>
      <c r="J49" s="112"/>
    </row>
    <row r="50" spans="2:16" ht="15" customHeight="1" x14ac:dyDescent="0.3">
      <c r="D50" s="112"/>
      <c r="E50" s="112"/>
      <c r="F50" s="112"/>
      <c r="G50" s="112"/>
      <c r="H50" s="112"/>
      <c r="I50" s="112"/>
      <c r="J50" s="112"/>
    </row>
    <row r="51" spans="2:16" ht="15" customHeight="1" x14ac:dyDescent="0.3">
      <c r="B51" s="130" t="s">
        <v>101</v>
      </c>
      <c r="C51" s="130"/>
      <c r="D51" s="131"/>
      <c r="E51" s="112"/>
      <c r="F51" s="112"/>
      <c r="G51" s="112"/>
      <c r="H51" s="112"/>
      <c r="I51" s="112"/>
      <c r="J51" s="112"/>
    </row>
    <row r="52" spans="2:16" ht="15" customHeight="1" x14ac:dyDescent="0.3">
      <c r="D52" s="112"/>
      <c r="E52" s="112"/>
      <c r="F52" s="112"/>
      <c r="G52" s="112"/>
      <c r="H52" s="112"/>
      <c r="I52" s="112"/>
      <c r="J52" s="112"/>
    </row>
    <row r="53" spans="2:16" ht="15" customHeight="1" x14ac:dyDescent="0.3">
      <c r="B53" s="120" t="s">
        <v>94</v>
      </c>
      <c r="C53" s="120"/>
      <c r="D53" s="112"/>
      <c r="E53" s="123">
        <v>0</v>
      </c>
      <c r="F53" s="123">
        <v>1</v>
      </c>
      <c r="G53" s="123">
        <v>2</v>
      </c>
      <c r="H53" s="123">
        <v>3</v>
      </c>
      <c r="I53" s="123">
        <v>4</v>
      </c>
      <c r="J53" s="123">
        <v>5</v>
      </c>
      <c r="K53" s="123">
        <v>6</v>
      </c>
      <c r="L53" s="123">
        <v>7</v>
      </c>
      <c r="M53" s="123">
        <v>8</v>
      </c>
      <c r="N53" s="123">
        <v>9</v>
      </c>
      <c r="O53" s="123">
        <v>10</v>
      </c>
      <c r="P53" s="123">
        <v>11</v>
      </c>
    </row>
    <row r="54" spans="2:16" x14ac:dyDescent="0.3">
      <c r="D54" s="112"/>
      <c r="E54" s="112"/>
      <c r="F54" s="112"/>
      <c r="G54" s="112"/>
      <c r="H54" s="112"/>
      <c r="I54" s="112"/>
    </row>
    <row r="55" spans="2:16" x14ac:dyDescent="0.3">
      <c r="B55" s="114" t="s">
        <v>102</v>
      </c>
      <c r="D55" s="112"/>
      <c r="E55" s="132">
        <f>-E9</f>
        <v>-3000000</v>
      </c>
      <c r="F55" s="132"/>
      <c r="G55" s="132"/>
      <c r="H55" s="132"/>
      <c r="I55" s="132"/>
      <c r="O55" s="132">
        <f>E10</f>
        <v>150000</v>
      </c>
    </row>
    <row r="56" spans="2:16" x14ac:dyDescent="0.3">
      <c r="B56" s="114" t="s">
        <v>103</v>
      </c>
      <c r="D56" s="112"/>
      <c r="E56" s="132"/>
      <c r="F56" s="132"/>
      <c r="G56" s="132">
        <f>F48</f>
        <v>150000</v>
      </c>
      <c r="H56" s="132">
        <f>G48</f>
        <v>120000</v>
      </c>
      <c r="I56" s="132">
        <f>H48</f>
        <v>96000</v>
      </c>
      <c r="J56" s="132">
        <f>I48</f>
        <v>76800</v>
      </c>
      <c r="K56" s="132">
        <f>J48</f>
        <v>61440</v>
      </c>
      <c r="L56" s="132">
        <f t="shared" ref="L56:P56" si="4">K48</f>
        <v>49152</v>
      </c>
      <c r="M56" s="132">
        <f t="shared" si="4"/>
        <v>39321.600000000006</v>
      </c>
      <c r="N56" s="132">
        <f t="shared" si="4"/>
        <v>31457.279999999999</v>
      </c>
      <c r="O56" s="132">
        <f t="shared" si="4"/>
        <v>25165.824000000001</v>
      </c>
      <c r="P56" s="132">
        <f t="shared" si="4"/>
        <v>63163.296000000002</v>
      </c>
    </row>
    <row r="57" spans="2:16" x14ac:dyDescent="0.3">
      <c r="B57" s="114" t="s">
        <v>104</v>
      </c>
      <c r="C57" s="133" t="s">
        <v>105</v>
      </c>
      <c r="D57" s="134">
        <f>E26</f>
        <v>2.01E-2</v>
      </c>
      <c r="E57" s="132">
        <f>-E11</f>
        <v>-200000</v>
      </c>
      <c r="F57" s="132"/>
      <c r="G57" s="132"/>
      <c r="H57" s="132"/>
      <c r="I57" s="132"/>
      <c r="J57" s="132"/>
      <c r="K57" s="132"/>
      <c r="L57" s="132"/>
      <c r="M57" s="132"/>
      <c r="N57" s="132"/>
      <c r="O57" s="132">
        <f>-E57*((1+D57)^10)</f>
        <v>244038.0079895934</v>
      </c>
      <c r="P57" s="132"/>
    </row>
    <row r="58" spans="2:16" x14ac:dyDescent="0.3">
      <c r="D58" s="135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</row>
    <row r="59" spans="2:16" x14ac:dyDescent="0.3">
      <c r="B59" s="120" t="s">
        <v>106</v>
      </c>
      <c r="C59" s="120"/>
      <c r="D59" s="112"/>
      <c r="E59" s="136">
        <f>SUM(E55:E58)</f>
        <v>-3200000</v>
      </c>
      <c r="F59" s="136">
        <f>SUM(F55:F58)</f>
        <v>0</v>
      </c>
      <c r="G59" s="136">
        <f>SUM(G55:G58)</f>
        <v>150000</v>
      </c>
      <c r="H59" s="136">
        <f t="shared" ref="H59:P59" si="5">SUM(H55:H58)</f>
        <v>120000</v>
      </c>
      <c r="I59" s="136">
        <f t="shared" si="5"/>
        <v>96000</v>
      </c>
      <c r="J59" s="136">
        <f t="shared" si="5"/>
        <v>76800</v>
      </c>
      <c r="K59" s="136">
        <f t="shared" si="5"/>
        <v>61440</v>
      </c>
      <c r="L59" s="136">
        <f t="shared" si="5"/>
        <v>49152</v>
      </c>
      <c r="M59" s="136">
        <f t="shared" si="5"/>
        <v>39321.600000000006</v>
      </c>
      <c r="N59" s="136">
        <f t="shared" si="5"/>
        <v>31457.279999999999</v>
      </c>
      <c r="O59" s="136">
        <f>SUM(O55:O58)</f>
        <v>419203.8319895934</v>
      </c>
      <c r="P59" s="136">
        <f t="shared" si="5"/>
        <v>63163.296000000002</v>
      </c>
    </row>
    <row r="60" spans="2:16" x14ac:dyDescent="0.3">
      <c r="D60" s="112"/>
      <c r="E60" s="132"/>
      <c r="F60" s="132"/>
      <c r="G60" s="132"/>
      <c r="H60" s="132"/>
      <c r="I60" s="132"/>
    </row>
    <row r="61" spans="2:16" x14ac:dyDescent="0.3">
      <c r="B61" s="114" t="s">
        <v>107</v>
      </c>
      <c r="D61" s="137">
        <v>0.01</v>
      </c>
      <c r="E61" s="132"/>
      <c r="F61" s="132">
        <f>$E$16*((1+$D$61)^F53)</f>
        <v>1515000</v>
      </c>
      <c r="G61" s="132">
        <f t="shared" ref="G61:O61" si="6">$E$16*((1+$D$61)^G53)</f>
        <v>1530150</v>
      </c>
      <c r="H61" s="132">
        <f t="shared" si="6"/>
        <v>1545451.4999999998</v>
      </c>
      <c r="I61" s="132">
        <f t="shared" si="6"/>
        <v>1560906.0150000001</v>
      </c>
      <c r="J61" s="132">
        <f t="shared" si="6"/>
        <v>1576515.0751499999</v>
      </c>
      <c r="K61" s="132">
        <f t="shared" si="6"/>
        <v>1592280.2259015001</v>
      </c>
      <c r="L61" s="132">
        <f t="shared" si="6"/>
        <v>1608203.0281605148</v>
      </c>
      <c r="M61" s="132">
        <f t="shared" si="6"/>
        <v>1624285.0584421204</v>
      </c>
      <c r="N61" s="132">
        <f t="shared" si="6"/>
        <v>1640527.9090265417</v>
      </c>
      <c r="O61" s="132">
        <f t="shared" si="6"/>
        <v>1656933.188116807</v>
      </c>
    </row>
    <row r="62" spans="2:16" x14ac:dyDescent="0.3">
      <c r="B62" s="114" t="s">
        <v>108</v>
      </c>
      <c r="D62" s="137">
        <v>-0.01</v>
      </c>
      <c r="E62" s="132"/>
      <c r="F62" s="132">
        <f t="shared" ref="F62:O62" si="7">-$E$19*((1+$D$62)^F53)</f>
        <v>-742500</v>
      </c>
      <c r="G62" s="132">
        <f t="shared" si="7"/>
        <v>-735075</v>
      </c>
      <c r="H62" s="132">
        <f t="shared" si="7"/>
        <v>-727724.24999999988</v>
      </c>
      <c r="I62" s="132">
        <f t="shared" si="7"/>
        <v>-720447.00749999995</v>
      </c>
      <c r="J62" s="132">
        <f t="shared" si="7"/>
        <v>-713242.53742499999</v>
      </c>
      <c r="K62" s="132">
        <f t="shared" si="7"/>
        <v>-706110.11205074994</v>
      </c>
      <c r="L62" s="132">
        <f t="shared" si="7"/>
        <v>-699049.01093024248</v>
      </c>
      <c r="M62" s="132">
        <f t="shared" si="7"/>
        <v>-692058.52082093991</v>
      </c>
      <c r="N62" s="132">
        <f t="shared" si="7"/>
        <v>-685137.93561273057</v>
      </c>
      <c r="O62" s="132">
        <f t="shared" si="7"/>
        <v>-678286.55625660322</v>
      </c>
    </row>
    <row r="63" spans="2:16" x14ac:dyDescent="0.3">
      <c r="B63" s="114" t="s">
        <v>109</v>
      </c>
      <c r="D63" s="137">
        <v>0.02</v>
      </c>
      <c r="E63" s="132"/>
      <c r="F63" s="132">
        <f t="shared" ref="F63:O63" si="8">-$E$21*((1+$D$63)^F53)</f>
        <v>-122400</v>
      </c>
      <c r="G63" s="132">
        <f t="shared" si="8"/>
        <v>-124848</v>
      </c>
      <c r="H63" s="132">
        <f t="shared" si="8"/>
        <v>-127344.95999999999</v>
      </c>
      <c r="I63" s="132">
        <f t="shared" si="8"/>
        <v>-129891.85919999999</v>
      </c>
      <c r="J63" s="132">
        <f t="shared" si="8"/>
        <v>-132489.69638400001</v>
      </c>
      <c r="K63" s="132">
        <f t="shared" si="8"/>
        <v>-135139.49031168001</v>
      </c>
      <c r="L63" s="132">
        <f t="shared" si="8"/>
        <v>-137842.28011791359</v>
      </c>
      <c r="M63" s="132">
        <f t="shared" si="8"/>
        <v>-140599.12572027187</v>
      </c>
      <c r="N63" s="132">
        <f t="shared" si="8"/>
        <v>-143411.10823467729</v>
      </c>
      <c r="O63" s="132">
        <f t="shared" si="8"/>
        <v>-146279.33039937084</v>
      </c>
    </row>
    <row r="64" spans="2:16" x14ac:dyDescent="0.3">
      <c r="B64" s="114" t="s">
        <v>110</v>
      </c>
      <c r="D64" s="138"/>
      <c r="E64" s="132"/>
      <c r="F64" s="132">
        <f>-$E$39</f>
        <v>-40000</v>
      </c>
      <c r="G64" s="132">
        <f t="shared" ref="G64:O64" si="9">-$E$39</f>
        <v>-40000</v>
      </c>
      <c r="H64" s="132">
        <f t="shared" si="9"/>
        <v>-40000</v>
      </c>
      <c r="I64" s="132">
        <f t="shared" si="9"/>
        <v>-40000</v>
      </c>
      <c r="J64" s="132">
        <f t="shared" si="9"/>
        <v>-40000</v>
      </c>
      <c r="K64" s="132">
        <f t="shared" si="9"/>
        <v>-40000</v>
      </c>
      <c r="L64" s="132">
        <f t="shared" si="9"/>
        <v>-40000</v>
      </c>
      <c r="M64" s="132">
        <f t="shared" si="9"/>
        <v>-40000</v>
      </c>
      <c r="N64" s="132">
        <f t="shared" si="9"/>
        <v>-40000</v>
      </c>
      <c r="O64" s="132">
        <f t="shared" si="9"/>
        <v>-40000</v>
      </c>
    </row>
    <row r="65" spans="2:16" x14ac:dyDescent="0.3">
      <c r="B65" s="114" t="s">
        <v>111</v>
      </c>
      <c r="D65" s="112"/>
      <c r="E65" s="139"/>
      <c r="F65" s="139">
        <f>SUM(F61:F64)</f>
        <v>610100</v>
      </c>
      <c r="G65" s="139">
        <f t="shared" ref="G65:O65" si="10">SUM(G61:G64)</f>
        <v>630227</v>
      </c>
      <c r="H65" s="139">
        <f t="shared" si="10"/>
        <v>650382.28999999992</v>
      </c>
      <c r="I65" s="139">
        <f t="shared" si="10"/>
        <v>670567.14830000023</v>
      </c>
      <c r="J65" s="139">
        <f t="shared" si="10"/>
        <v>690782.84134099993</v>
      </c>
      <c r="K65" s="139">
        <f t="shared" si="10"/>
        <v>711030.62353907013</v>
      </c>
      <c r="L65" s="139">
        <f t="shared" si="10"/>
        <v>731311.73711235868</v>
      </c>
      <c r="M65" s="139">
        <f t="shared" si="10"/>
        <v>751627.41190090869</v>
      </c>
      <c r="N65" s="139">
        <f t="shared" si="10"/>
        <v>771978.86517913383</v>
      </c>
      <c r="O65" s="139">
        <f t="shared" si="10"/>
        <v>792367.30146083294</v>
      </c>
      <c r="P65" s="140"/>
    </row>
    <row r="66" spans="2:16" x14ac:dyDescent="0.3">
      <c r="B66" s="114" t="s">
        <v>112</v>
      </c>
      <c r="D66" s="141">
        <f>MAX(E24:E25)</f>
        <v>0.25</v>
      </c>
      <c r="E66" s="132"/>
      <c r="F66" s="132"/>
      <c r="G66" s="132">
        <f>F65*-$D$66</f>
        <v>-152525</v>
      </c>
      <c r="H66" s="132">
        <f t="shared" ref="H66:O66" si="11">G65*-$D$66</f>
        <v>-157556.75</v>
      </c>
      <c r="I66" s="132">
        <f t="shared" si="11"/>
        <v>-162595.57249999998</v>
      </c>
      <c r="J66" s="132">
        <f t="shared" si="11"/>
        <v>-167641.78707500006</v>
      </c>
      <c r="K66" s="132">
        <f t="shared" si="11"/>
        <v>-172695.71033524998</v>
      </c>
      <c r="L66" s="132">
        <f t="shared" si="11"/>
        <v>-177757.65588476753</v>
      </c>
      <c r="M66" s="132">
        <f t="shared" si="11"/>
        <v>-182827.93427808967</v>
      </c>
      <c r="N66" s="132">
        <f t="shared" si="11"/>
        <v>-187906.85297522717</v>
      </c>
      <c r="O66" s="132">
        <f t="shared" si="11"/>
        <v>-192994.71629478346</v>
      </c>
      <c r="P66" s="132">
        <f>O65*-$D$66</f>
        <v>-198091.82536520823</v>
      </c>
    </row>
    <row r="67" spans="2:16" x14ac:dyDescent="0.3">
      <c r="B67" s="120" t="s">
        <v>113</v>
      </c>
      <c r="C67" s="120"/>
      <c r="D67" s="112"/>
      <c r="E67" s="139"/>
      <c r="F67" s="136">
        <f>SUM(F65:F66)</f>
        <v>610100</v>
      </c>
      <c r="G67" s="136">
        <f>SUM(G65:G66)</f>
        <v>477702</v>
      </c>
      <c r="H67" s="136">
        <f t="shared" ref="H67:P67" si="12">SUM(H65:H66)</f>
        <v>492825.53999999992</v>
      </c>
      <c r="I67" s="136">
        <f t="shared" si="12"/>
        <v>507971.57580000022</v>
      </c>
      <c r="J67" s="136">
        <f t="shared" si="12"/>
        <v>523141.05426599988</v>
      </c>
      <c r="K67" s="136">
        <f t="shared" si="12"/>
        <v>538334.91320382012</v>
      </c>
      <c r="L67" s="136">
        <f t="shared" si="12"/>
        <v>553554.08122759114</v>
      </c>
      <c r="M67" s="136">
        <f t="shared" si="12"/>
        <v>568799.47762281902</v>
      </c>
      <c r="N67" s="136">
        <f t="shared" si="12"/>
        <v>584072.01220390666</v>
      </c>
      <c r="O67" s="136">
        <f t="shared" si="12"/>
        <v>599372.58516604942</v>
      </c>
      <c r="P67" s="136">
        <f t="shared" si="12"/>
        <v>-198091.82536520823</v>
      </c>
    </row>
    <row r="68" spans="2:16" x14ac:dyDescent="0.3">
      <c r="D68" s="112"/>
      <c r="E68" s="132"/>
      <c r="F68" s="132"/>
      <c r="G68" s="132"/>
      <c r="H68" s="132"/>
      <c r="I68" s="132"/>
    </row>
    <row r="69" spans="2:16" ht="15" thickBot="1" x14ac:dyDescent="0.35">
      <c r="B69" s="120" t="s">
        <v>114</v>
      </c>
      <c r="C69" s="120"/>
      <c r="D69" s="112"/>
      <c r="E69" s="142">
        <f>E59+E67</f>
        <v>-3200000</v>
      </c>
      <c r="F69" s="142">
        <f>F59+F67</f>
        <v>610100</v>
      </c>
      <c r="G69" s="142">
        <f>G59+G67</f>
        <v>627702</v>
      </c>
      <c r="H69" s="142">
        <f t="shared" ref="H69:O69" si="13">H59+H67</f>
        <v>612825.53999999992</v>
      </c>
      <c r="I69" s="142">
        <f t="shared" si="13"/>
        <v>603971.57580000022</v>
      </c>
      <c r="J69" s="142">
        <f t="shared" si="13"/>
        <v>599941.05426599993</v>
      </c>
      <c r="K69" s="142">
        <f t="shared" si="13"/>
        <v>599774.91320382012</v>
      </c>
      <c r="L69" s="142">
        <f t="shared" si="13"/>
        <v>602706.08122759114</v>
      </c>
      <c r="M69" s="142">
        <f t="shared" si="13"/>
        <v>608121.07762281899</v>
      </c>
      <c r="N69" s="142">
        <f t="shared" si="13"/>
        <v>615529.29220390669</v>
      </c>
      <c r="O69" s="142">
        <f t="shared" si="13"/>
        <v>1018576.4171556428</v>
      </c>
      <c r="P69" s="142">
        <f>P59+P67</f>
        <v>-134928.52936520823</v>
      </c>
    </row>
    <row r="70" spans="2:16" x14ac:dyDescent="0.3">
      <c r="D70" s="112"/>
      <c r="E70" s="132"/>
      <c r="F70" s="132"/>
      <c r="G70" s="132"/>
      <c r="H70" s="132"/>
      <c r="I70" s="132"/>
    </row>
    <row r="71" spans="2:16" x14ac:dyDescent="0.3">
      <c r="B71" s="114" t="s">
        <v>115</v>
      </c>
      <c r="D71" s="112"/>
      <c r="E71" s="143">
        <f>$E$8</f>
        <v>0.85299999999999998</v>
      </c>
      <c r="F71" s="143">
        <f t="shared" ref="F71:P71" si="14">$E$8</f>
        <v>0.85299999999999998</v>
      </c>
      <c r="G71" s="143">
        <f t="shared" si="14"/>
        <v>0.85299999999999998</v>
      </c>
      <c r="H71" s="143">
        <f t="shared" si="14"/>
        <v>0.85299999999999998</v>
      </c>
      <c r="I71" s="143">
        <f t="shared" si="14"/>
        <v>0.85299999999999998</v>
      </c>
      <c r="J71" s="143">
        <f t="shared" si="14"/>
        <v>0.85299999999999998</v>
      </c>
      <c r="K71" s="143">
        <f t="shared" si="14"/>
        <v>0.85299999999999998</v>
      </c>
      <c r="L71" s="143">
        <f t="shared" si="14"/>
        <v>0.85299999999999998</v>
      </c>
      <c r="M71" s="143">
        <f t="shared" si="14"/>
        <v>0.85299999999999998</v>
      </c>
      <c r="N71" s="143">
        <f t="shared" si="14"/>
        <v>0.85299999999999998</v>
      </c>
      <c r="O71" s="143">
        <f t="shared" si="14"/>
        <v>0.85299999999999998</v>
      </c>
      <c r="P71" s="143">
        <f t="shared" si="14"/>
        <v>0.85299999999999998</v>
      </c>
    </row>
    <row r="72" spans="2:16" x14ac:dyDescent="0.3">
      <c r="B72" s="120" t="s">
        <v>116</v>
      </c>
      <c r="C72" s="120"/>
      <c r="D72" s="144"/>
      <c r="E72" s="145">
        <f>E69/E71</f>
        <v>-3751465.4161781948</v>
      </c>
      <c r="F72" s="145">
        <f t="shared" ref="F72:P72" si="15">F69/F71</f>
        <v>715240.32825322391</v>
      </c>
      <c r="G72" s="145">
        <f t="shared" si="15"/>
        <v>735875.73270808917</v>
      </c>
      <c r="H72" s="145">
        <f t="shared" si="15"/>
        <v>718435.56858147704</v>
      </c>
      <c r="I72" s="145">
        <f t="shared" si="15"/>
        <v>708055.77467760874</v>
      </c>
      <c r="J72" s="145">
        <f t="shared" si="15"/>
        <v>703330.66150762013</v>
      </c>
      <c r="K72" s="145">
        <f t="shared" si="15"/>
        <v>703135.88886731549</v>
      </c>
      <c r="L72" s="145">
        <f t="shared" si="15"/>
        <v>706572.19370174815</v>
      </c>
      <c r="M72" s="145">
        <f t="shared" si="15"/>
        <v>712920.37235969398</v>
      </c>
      <c r="N72" s="145">
        <f t="shared" si="15"/>
        <v>721605.26635862456</v>
      </c>
      <c r="O72" s="145">
        <f t="shared" si="15"/>
        <v>1194110.6883419023</v>
      </c>
      <c r="P72" s="145">
        <f t="shared" si="15"/>
        <v>-158181.15986542584</v>
      </c>
    </row>
    <row r="73" spans="2:16" x14ac:dyDescent="0.3">
      <c r="B73" s="120"/>
      <c r="C73" s="120"/>
      <c r="D73" s="144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</row>
    <row r="74" spans="2:16" x14ac:dyDescent="0.3">
      <c r="B74" s="262" t="s">
        <v>192</v>
      </c>
      <c r="C74" s="155"/>
      <c r="D74" s="146">
        <f ca="1">E28</f>
        <v>6.9000000000000006E-2</v>
      </c>
      <c r="E74" s="265">
        <f>NPV(0.069,F72:P72)</f>
        <v>5211871.7844932098</v>
      </c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</row>
    <row r="75" spans="2:16" x14ac:dyDescent="0.3">
      <c r="B75" s="155" t="s">
        <v>190</v>
      </c>
      <c r="C75" s="155"/>
      <c r="D75" s="264"/>
      <c r="E75" s="265">
        <f>E72</f>
        <v>-3751465.4161781948</v>
      </c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</row>
    <row r="76" spans="2:16" ht="15.6" x14ac:dyDescent="0.3">
      <c r="B76" s="266" t="s">
        <v>191</v>
      </c>
      <c r="C76" s="266"/>
      <c r="D76" s="267"/>
      <c r="E76" s="268">
        <f>SUM(E74:E75)</f>
        <v>1460406.368315015</v>
      </c>
      <c r="F76" s="149" t="s">
        <v>118</v>
      </c>
      <c r="G76" s="145"/>
      <c r="H76" s="145"/>
      <c r="I76" s="145"/>
      <c r="J76" s="145"/>
      <c r="K76" s="145"/>
      <c r="L76" s="145"/>
      <c r="M76" s="145"/>
      <c r="N76" s="145"/>
      <c r="O76" s="145"/>
      <c r="P76" s="145"/>
    </row>
    <row r="77" spans="2:16" x14ac:dyDescent="0.3">
      <c r="B77" s="120"/>
      <c r="C77" s="120"/>
      <c r="D77" s="144"/>
      <c r="E77" s="145"/>
      <c r="F77" s="145"/>
      <c r="G77" s="145"/>
      <c r="H77" s="145"/>
      <c r="I77" s="145"/>
    </row>
    <row r="78" spans="2:16" x14ac:dyDescent="0.3">
      <c r="D78" s="112"/>
      <c r="E78" s="112"/>
      <c r="F78" s="112"/>
      <c r="G78" s="112"/>
      <c r="H78" s="112"/>
      <c r="I78" s="112"/>
    </row>
    <row r="79" spans="2:16" ht="15.6" x14ac:dyDescent="0.3">
      <c r="B79" s="117" t="s">
        <v>119</v>
      </c>
      <c r="C79" s="117"/>
    </row>
    <row r="81" spans="2:16" ht="15.6" x14ac:dyDescent="0.3">
      <c r="B81" s="148" t="s">
        <v>120</v>
      </c>
      <c r="C81" s="148"/>
      <c r="D81" s="150"/>
      <c r="E81" s="151">
        <f>IRR(E72:P72)</f>
        <v>0.14470381881964811</v>
      </c>
      <c r="F81" s="149" t="s">
        <v>118</v>
      </c>
      <c r="G81" s="152"/>
      <c r="H81" s="153"/>
      <c r="I81" s="154"/>
    </row>
    <row r="82" spans="2:16" x14ac:dyDescent="0.3">
      <c r="B82" s="155"/>
      <c r="E82" s="156"/>
    </row>
    <row r="83" spans="2:16" ht="15.6" x14ac:dyDescent="0.3">
      <c r="B83" s="155"/>
      <c r="E83" s="156"/>
      <c r="F83" s="149"/>
    </row>
    <row r="84" spans="2:16" ht="16.8" x14ac:dyDescent="0.3">
      <c r="B84" s="160"/>
      <c r="C84" s="157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</row>
    <row r="85" spans="2:16" ht="15.6" x14ac:dyDescent="0.3">
      <c r="B85" s="117" t="s">
        <v>125</v>
      </c>
      <c r="C85" s="117"/>
      <c r="F85" s="161"/>
    </row>
    <row r="86" spans="2:16" ht="15.6" x14ac:dyDescent="0.3">
      <c r="F86" s="161"/>
    </row>
    <row r="87" spans="2:16" x14ac:dyDescent="0.3">
      <c r="B87" s="120" t="s">
        <v>94</v>
      </c>
      <c r="C87" s="120"/>
      <c r="D87" s="162"/>
      <c r="E87" s="123">
        <v>0</v>
      </c>
      <c r="F87" s="123">
        <v>1</v>
      </c>
      <c r="G87" s="123">
        <v>2</v>
      </c>
      <c r="H87" s="123">
        <v>3</v>
      </c>
      <c r="I87" s="123">
        <v>4</v>
      </c>
      <c r="J87" s="123">
        <v>5</v>
      </c>
      <c r="K87" s="123">
        <v>6</v>
      </c>
      <c r="L87" s="123">
        <v>7</v>
      </c>
      <c r="M87" s="123">
        <v>8</v>
      </c>
      <c r="N87" s="123">
        <v>9</v>
      </c>
      <c r="O87" s="123">
        <v>10</v>
      </c>
      <c r="P87" s="123">
        <v>11</v>
      </c>
    </row>
    <row r="88" spans="2:16" x14ac:dyDescent="0.3">
      <c r="B88" s="114" t="s">
        <v>117</v>
      </c>
      <c r="D88" s="146">
        <f ca="1">E28</f>
        <v>6.9000000000000006E-2</v>
      </c>
      <c r="E88" s="269">
        <f t="shared" ref="E88:P88" ca="1" si="16">ROUND(1/((1+$D$88)^E53),3)</f>
        <v>1</v>
      </c>
      <c r="F88" s="147">
        <f t="shared" ca="1" si="16"/>
        <v>0.93500000000000005</v>
      </c>
      <c r="G88" s="147">
        <f t="shared" ca="1" si="16"/>
        <v>0.875</v>
      </c>
      <c r="H88" s="147">
        <f t="shared" ca="1" si="16"/>
        <v>0.81899999999999995</v>
      </c>
      <c r="I88" s="147">
        <f t="shared" ca="1" si="16"/>
        <v>0.76600000000000001</v>
      </c>
      <c r="J88" s="147">
        <f t="shared" ca="1" si="16"/>
        <v>0.71599999999999997</v>
      </c>
      <c r="K88" s="147">
        <f t="shared" ca="1" si="16"/>
        <v>0.67</v>
      </c>
      <c r="L88" s="147">
        <f t="shared" ca="1" si="16"/>
        <v>0.627</v>
      </c>
      <c r="M88" s="147">
        <f t="shared" ca="1" si="16"/>
        <v>0.58599999999999997</v>
      </c>
      <c r="N88" s="147">
        <f t="shared" ca="1" si="16"/>
        <v>0.54900000000000004</v>
      </c>
      <c r="O88" s="147">
        <f t="shared" ca="1" si="16"/>
        <v>0.51300000000000001</v>
      </c>
      <c r="P88" s="147">
        <f t="shared" ca="1" si="16"/>
        <v>0.48</v>
      </c>
    </row>
    <row r="89" spans="2:16" x14ac:dyDescent="0.3">
      <c r="B89" s="114" t="s">
        <v>126</v>
      </c>
      <c r="D89" s="163"/>
      <c r="E89" s="164">
        <f t="shared" ref="E89:P89" ca="1" si="17">ROUND(E72*E88,3)</f>
        <v>-3751465.4160000002</v>
      </c>
      <c r="F89" s="164">
        <f t="shared" ca="1" si="17"/>
        <v>668749.70700000005</v>
      </c>
      <c r="G89" s="164">
        <f t="shared" ca="1" si="17"/>
        <v>643891.26599999995</v>
      </c>
      <c r="H89" s="164">
        <f t="shared" ca="1" si="17"/>
        <v>588398.73100000003</v>
      </c>
      <c r="I89" s="164">
        <f t="shared" ca="1" si="17"/>
        <v>542370.723</v>
      </c>
      <c r="J89" s="164">
        <f t="shared" ca="1" si="17"/>
        <v>503584.75400000002</v>
      </c>
      <c r="K89" s="164">
        <f t="shared" ca="1" si="17"/>
        <v>471101.04599999997</v>
      </c>
      <c r="L89" s="164">
        <f t="shared" ca="1" si="17"/>
        <v>443020.76500000001</v>
      </c>
      <c r="M89" s="164">
        <f t="shared" ca="1" si="17"/>
        <v>417771.33799999999</v>
      </c>
      <c r="N89" s="164">
        <f t="shared" ca="1" si="17"/>
        <v>396161.29100000003</v>
      </c>
      <c r="O89" s="164">
        <f t="shared" ca="1" si="17"/>
        <v>612578.78300000005</v>
      </c>
      <c r="P89" s="164">
        <f t="shared" ca="1" si="17"/>
        <v>-75926.956999999995</v>
      </c>
    </row>
    <row r="90" spans="2:16" x14ac:dyDescent="0.3">
      <c r="B90" s="120" t="s">
        <v>127</v>
      </c>
      <c r="C90" s="120"/>
      <c r="D90" s="162"/>
      <c r="E90" s="165">
        <f ca="1">E89</f>
        <v>-3751465.4160000002</v>
      </c>
      <c r="F90" s="165">
        <f ca="1">F89+E90</f>
        <v>-3082715.7090000003</v>
      </c>
      <c r="G90" s="165">
        <f ca="1">G89+F90</f>
        <v>-2438824.4430000004</v>
      </c>
      <c r="H90" s="165">
        <f t="shared" ref="H90:P90" ca="1" si="18">H89+G90</f>
        <v>-1850425.7120000003</v>
      </c>
      <c r="I90" s="165">
        <f t="shared" ca="1" si="18"/>
        <v>-1308054.9890000003</v>
      </c>
      <c r="J90" s="165">
        <f t="shared" ca="1" si="18"/>
        <v>-804470.23500000034</v>
      </c>
      <c r="K90" s="165">
        <f ca="1">K89+J90</f>
        <v>-333369.18900000036</v>
      </c>
      <c r="L90" s="165">
        <f t="shared" ca="1" si="18"/>
        <v>109651.57599999965</v>
      </c>
      <c r="M90" s="165">
        <f t="shared" ca="1" si="18"/>
        <v>527422.91399999964</v>
      </c>
      <c r="N90" s="165">
        <f t="shared" ca="1" si="18"/>
        <v>923584.20499999961</v>
      </c>
      <c r="O90" s="165">
        <f t="shared" ca="1" si="18"/>
        <v>1536162.9879999997</v>
      </c>
      <c r="P90" s="165">
        <f t="shared" ca="1" si="18"/>
        <v>1460236.0309999997</v>
      </c>
    </row>
    <row r="91" spans="2:16" x14ac:dyDescent="0.3">
      <c r="E91" s="164"/>
      <c r="F91" s="164"/>
      <c r="G91" s="164"/>
      <c r="H91" s="164"/>
      <c r="I91" s="164"/>
    </row>
    <row r="92" spans="2:16" ht="15.6" x14ac:dyDescent="0.3">
      <c r="B92" s="148" t="s">
        <v>128</v>
      </c>
      <c r="C92" s="148"/>
      <c r="D92" s="150"/>
      <c r="E92" s="166">
        <f ca="1">K87+(-K90/L89)</f>
        <v>6.7524911140451858</v>
      </c>
      <c r="F92" s="167" t="s">
        <v>57</v>
      </c>
      <c r="G92" s="164"/>
      <c r="H92" s="164"/>
      <c r="I92" s="164"/>
    </row>
    <row r="93" spans="2:16" ht="15.6" x14ac:dyDescent="0.3">
      <c r="B93" s="159" t="s">
        <v>129</v>
      </c>
      <c r="C93" s="168"/>
      <c r="E93" s="169">
        <v>4</v>
      </c>
      <c r="F93" s="167" t="s">
        <v>57</v>
      </c>
      <c r="G93" s="170"/>
      <c r="H93" s="164"/>
      <c r="I93" s="164"/>
    </row>
    <row r="94" spans="2:16" ht="17.399999999999999" x14ac:dyDescent="0.3">
      <c r="B94" s="95"/>
      <c r="C94" s="168"/>
      <c r="E94" s="169"/>
      <c r="F94" s="167"/>
      <c r="G94" s="164"/>
      <c r="H94" s="164"/>
      <c r="I94" s="164"/>
    </row>
    <row r="95" spans="2:16" ht="15.6" x14ac:dyDescent="0.3">
      <c r="B95" s="171" t="s">
        <v>130</v>
      </c>
      <c r="C95" s="172"/>
      <c r="D95" s="173"/>
      <c r="E95" s="174"/>
      <c r="F95" s="175"/>
      <c r="G95" s="176"/>
      <c r="H95" s="176"/>
      <c r="I95" s="176"/>
    </row>
    <row r="96" spans="2:16" ht="46.05" customHeight="1" x14ac:dyDescent="0.3">
      <c r="B96" s="289" t="s">
        <v>200</v>
      </c>
      <c r="C96" s="289"/>
      <c r="D96" s="289"/>
      <c r="E96" s="289"/>
      <c r="F96" s="289"/>
      <c r="G96" s="289"/>
      <c r="H96" s="289"/>
      <c r="I96" s="289"/>
    </row>
    <row r="97" spans="1:16" x14ac:dyDescent="0.3">
      <c r="E97" s="164"/>
      <c r="F97" s="164"/>
      <c r="G97" s="164"/>
      <c r="H97" s="164"/>
      <c r="I97" s="164"/>
    </row>
    <row r="98" spans="1:16" ht="36.450000000000003" customHeight="1" x14ac:dyDescent="0.3">
      <c r="B98" s="289"/>
      <c r="C98" s="289"/>
      <c r="D98" s="289"/>
      <c r="E98" s="289"/>
      <c r="F98" s="289"/>
      <c r="G98" s="289"/>
      <c r="H98" s="289"/>
      <c r="I98" s="289"/>
    </row>
    <row r="100" spans="1:16" s="114" customFormat="1" x14ac:dyDescent="0.3">
      <c r="A100" s="99"/>
      <c r="B100" s="155"/>
      <c r="D100" s="98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4" spans="1:16" ht="18.600000000000001" x14ac:dyDescent="0.3">
      <c r="B104" s="243"/>
      <c r="C104" s="243"/>
      <c r="D104" s="243"/>
      <c r="E104" s="243"/>
      <c r="F104" s="243"/>
      <c r="G104" s="243"/>
      <c r="H104" s="243"/>
      <c r="I104" s="243"/>
      <c r="J104" s="245"/>
      <c r="K104" s="243"/>
      <c r="L104" s="243"/>
      <c r="M104" s="243"/>
      <c r="N104" s="243"/>
      <c r="O104" s="243"/>
      <c r="P104" s="243"/>
    </row>
    <row r="105" spans="1:16" ht="18.600000000000001" x14ac:dyDescent="0.3"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</row>
    <row r="107" spans="1:16" x14ac:dyDescent="0.3">
      <c r="C107" s="274"/>
    </row>
  </sheetData>
  <mergeCells count="2">
    <mergeCell ref="B96:I96"/>
    <mergeCell ref="B98:I98"/>
  </mergeCells>
  <pageMargins left="0.51181102362204722" right="0.51181102362204722" top="0.55118110236220474" bottom="0.55118110236220474" header="0.31496062992125984" footer="0.31496062992125984"/>
  <pageSetup paperSize="9" scale="85" fitToHeight="2" orientation="portrait" r:id="rId1"/>
  <rowBreaks count="1" manualBreakCount="1">
    <brk id="50" min="1" max="8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37"/>
  <sheetViews>
    <sheetView zoomScaleNormal="100" workbookViewId="0">
      <selection activeCell="B1" sqref="B1:N14"/>
    </sheetView>
  </sheetViews>
  <sheetFormatPr defaultColWidth="9.21875" defaultRowHeight="20.100000000000001" customHeight="1" x14ac:dyDescent="0.3"/>
  <cols>
    <col min="1" max="1" width="3.77734375" style="194" customWidth="1"/>
    <col min="2" max="2" width="33.44140625" style="198" customWidth="1"/>
    <col min="3" max="3" width="8.88671875" style="193" customWidth="1"/>
    <col min="4" max="4" width="9.21875" style="193" customWidth="1"/>
    <col min="5" max="5" width="4.21875" style="193" customWidth="1"/>
    <col min="6" max="6" width="6.44140625" style="193" customWidth="1"/>
    <col min="7" max="7" width="6.77734375" style="193" bestFit="1" customWidth="1"/>
    <col min="8" max="8" width="6.77734375" style="193" customWidth="1"/>
    <col min="9" max="9" width="2.44140625" style="193" customWidth="1"/>
    <col min="10" max="10" width="6.5546875" style="193" bestFit="1" customWidth="1"/>
    <col min="11" max="11" width="3.21875" style="193" bestFit="1" customWidth="1"/>
    <col min="12" max="12" width="6.21875" style="193" bestFit="1" customWidth="1"/>
    <col min="13" max="13" width="4.21875" style="194" bestFit="1" customWidth="1"/>
    <col min="14" max="14" width="11.21875" style="194" bestFit="1" customWidth="1"/>
    <col min="15" max="15" width="14.77734375" style="195" bestFit="1" customWidth="1"/>
    <col min="16" max="16" width="8.21875" style="196" customWidth="1"/>
    <col min="17" max="16384" width="9.21875" style="194"/>
  </cols>
  <sheetData>
    <row r="1" spans="2:27" s="2" customFormat="1" ht="19.95" customHeight="1" x14ac:dyDescent="0.3">
      <c r="B1" s="177" t="s">
        <v>131</v>
      </c>
      <c r="C1" s="3"/>
      <c r="D1" s="3"/>
      <c r="E1" s="3"/>
      <c r="F1" s="3"/>
      <c r="G1" s="3"/>
      <c r="H1" s="3"/>
      <c r="I1" s="3"/>
      <c r="J1" s="3"/>
      <c r="K1" s="3"/>
      <c r="L1" s="3"/>
      <c r="O1" s="178"/>
      <c r="P1" s="179"/>
      <c r="X1" s="29"/>
      <c r="Y1" s="29"/>
      <c r="Z1" s="29"/>
      <c r="AA1" s="29"/>
    </row>
    <row r="2" spans="2:27" s="2" customFormat="1" ht="19.95" customHeight="1" x14ac:dyDescent="0.3">
      <c r="B2" s="177"/>
      <c r="C2" s="3"/>
      <c r="D2" s="3"/>
      <c r="E2" s="3"/>
      <c r="F2" s="3"/>
      <c r="G2" s="3"/>
      <c r="H2" s="3"/>
      <c r="I2" s="3"/>
      <c r="J2" s="3"/>
      <c r="K2" s="3"/>
      <c r="L2" s="3"/>
      <c r="O2" s="178"/>
      <c r="P2" s="179"/>
      <c r="X2" s="29"/>
      <c r="Y2" s="29"/>
      <c r="Z2" s="29"/>
      <c r="AA2" s="29"/>
    </row>
    <row r="3" spans="2:27" s="2" customFormat="1" ht="19.95" customHeight="1" x14ac:dyDescent="0.3">
      <c r="B3" s="180" t="s">
        <v>132</v>
      </c>
      <c r="C3" s="181" t="s">
        <v>35</v>
      </c>
      <c r="D3" s="181" t="s">
        <v>28</v>
      </c>
      <c r="F3" s="3"/>
      <c r="G3" s="3"/>
      <c r="H3" s="3"/>
      <c r="I3" s="3"/>
      <c r="J3" s="3"/>
      <c r="K3" s="3"/>
      <c r="L3" s="3"/>
      <c r="O3" s="178"/>
      <c r="P3" s="179"/>
      <c r="X3" s="29"/>
      <c r="Y3" s="29"/>
      <c r="Z3" s="29"/>
      <c r="AA3" s="29"/>
    </row>
    <row r="4" spans="2:27" s="2" customFormat="1" ht="19.95" customHeight="1" x14ac:dyDescent="0.3">
      <c r="B4" s="182" t="s">
        <v>133</v>
      </c>
      <c r="C4" s="183">
        <f>'Debt Capital'!C13</f>
        <v>66</v>
      </c>
      <c r="D4" s="184">
        <f>'Cost of Equity'!D9</f>
        <v>550</v>
      </c>
      <c r="F4" s="3"/>
      <c r="G4" s="185"/>
      <c r="I4" s="3"/>
      <c r="J4" s="3"/>
      <c r="K4" s="3"/>
      <c r="L4" s="186"/>
      <c r="O4" s="178"/>
      <c r="P4" s="179"/>
      <c r="X4" s="29"/>
      <c r="Y4" s="29"/>
      <c r="Z4" s="29"/>
      <c r="AA4" s="29"/>
    </row>
    <row r="5" spans="2:27" s="2" customFormat="1" ht="19.95" customHeight="1" x14ac:dyDescent="0.3">
      <c r="B5" s="182" t="s">
        <v>134</v>
      </c>
      <c r="C5" s="187">
        <f ca="1">'Debt Capital'!F18</f>
        <v>3.5139875648044348E-2</v>
      </c>
      <c r="D5" s="188">
        <f>'Cost of Equity'!D19</f>
        <v>7.3080623728163735E-2</v>
      </c>
      <c r="G5" s="3"/>
      <c r="H5" s="186"/>
      <c r="I5" s="189"/>
      <c r="J5" s="190"/>
      <c r="K5" s="3"/>
      <c r="L5" s="3"/>
      <c r="O5" s="178"/>
      <c r="P5" s="179"/>
      <c r="X5" s="29"/>
      <c r="Y5" s="29"/>
      <c r="Z5" s="29"/>
      <c r="AA5" s="29"/>
    </row>
    <row r="6" spans="2:27" s="2" customFormat="1" ht="19.95" customHeight="1" x14ac:dyDescent="0.3">
      <c r="B6" s="182" t="s">
        <v>135</v>
      </c>
      <c r="C6" s="191">
        <v>0.25</v>
      </c>
      <c r="D6" s="3"/>
      <c r="K6" s="3"/>
      <c r="L6" s="3"/>
      <c r="O6" s="178"/>
      <c r="P6" s="179"/>
      <c r="X6" s="29"/>
      <c r="Y6" s="29"/>
      <c r="Z6" s="29"/>
      <c r="AA6" s="29"/>
    </row>
    <row r="7" spans="2:27" ht="20.100000000000001" customHeight="1" x14ac:dyDescent="0.3">
      <c r="B7" s="192"/>
    </row>
    <row r="8" spans="2:27" ht="20.100000000000001" customHeight="1" x14ac:dyDescent="0.3">
      <c r="B8" s="197" t="s">
        <v>136</v>
      </c>
    </row>
    <row r="10" spans="2:27" ht="20.100000000000001" customHeight="1" x14ac:dyDescent="0.3">
      <c r="B10" s="198" t="s">
        <v>137</v>
      </c>
      <c r="C10" s="199" t="s">
        <v>4</v>
      </c>
      <c r="D10" s="200">
        <f>C4</f>
        <v>66</v>
      </c>
      <c r="E10" s="193" t="s">
        <v>124</v>
      </c>
      <c r="F10" s="201">
        <f>D4</f>
        <v>550</v>
      </c>
      <c r="M10" s="193" t="s">
        <v>4</v>
      </c>
      <c r="N10" s="202">
        <f>D10+F10</f>
        <v>616</v>
      </c>
    </row>
    <row r="11" spans="2:27" ht="20.100000000000001" customHeight="1" x14ac:dyDescent="0.3">
      <c r="C11" s="199"/>
      <c r="M11" s="193"/>
      <c r="N11" s="203"/>
    </row>
    <row r="12" spans="2:27" ht="20.100000000000001" customHeight="1" x14ac:dyDescent="0.3">
      <c r="B12" s="198" t="s">
        <v>138</v>
      </c>
      <c r="C12" s="199" t="s">
        <v>4</v>
      </c>
      <c r="D12" s="193">
        <f>D10</f>
        <v>66</v>
      </c>
      <c r="E12" s="204" t="s">
        <v>3</v>
      </c>
      <c r="F12" s="205">
        <f>N10</f>
        <v>616</v>
      </c>
      <c r="M12" s="206" t="s">
        <v>4</v>
      </c>
      <c r="N12" s="207">
        <f>D12/F12</f>
        <v>0.10714285714285714</v>
      </c>
      <c r="O12" s="195" t="s">
        <v>193</v>
      </c>
    </row>
    <row r="13" spans="2:27" ht="20.100000000000001" customHeight="1" x14ac:dyDescent="0.3">
      <c r="C13" s="199"/>
      <c r="M13" s="193"/>
      <c r="N13" s="208"/>
    </row>
    <row r="14" spans="2:27" ht="20.100000000000001" customHeight="1" x14ac:dyDescent="0.3">
      <c r="B14" s="198" t="s">
        <v>139</v>
      </c>
      <c r="C14" s="209" t="s">
        <v>140</v>
      </c>
      <c r="D14" s="208">
        <f>N12</f>
        <v>0.10714285714285714</v>
      </c>
      <c r="E14" s="193" t="s">
        <v>122</v>
      </c>
      <c r="F14" s="210">
        <f ca="1">C5</f>
        <v>3.5139875648044348E-2</v>
      </c>
      <c r="G14" s="193" t="s">
        <v>141</v>
      </c>
      <c r="H14" s="208">
        <f>1-N12</f>
        <v>0.8928571428571429</v>
      </c>
      <c r="I14" s="193" t="s">
        <v>122</v>
      </c>
      <c r="J14" s="210">
        <f>D5</f>
        <v>7.3080623728163735E-2</v>
      </c>
      <c r="K14" s="211" t="s">
        <v>123</v>
      </c>
      <c r="M14" s="206" t="s">
        <v>4</v>
      </c>
      <c r="N14" s="207">
        <f ca="1">(D14*F14)+(H14*J14)</f>
        <v>6.9015543576722377E-2</v>
      </c>
    </row>
    <row r="15" spans="2:27" ht="20.100000000000001" customHeight="1" x14ac:dyDescent="0.3">
      <c r="B15" s="212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4"/>
      <c r="N15" s="214"/>
      <c r="O15" s="215"/>
      <c r="P15" s="216"/>
    </row>
    <row r="17" spans="2:16" ht="20.100000000000001" customHeight="1" x14ac:dyDescent="0.3">
      <c r="B17" s="197" t="s">
        <v>142</v>
      </c>
    </row>
    <row r="18" spans="2:16" ht="20.100000000000001" customHeight="1" x14ac:dyDescent="0.3">
      <c r="B18" s="192"/>
    </row>
    <row r="19" spans="2:16" ht="20.100000000000001" customHeight="1" x14ac:dyDescent="0.3">
      <c r="B19" s="198" t="s">
        <v>143</v>
      </c>
      <c r="C19" s="209"/>
      <c r="D19" s="208"/>
      <c r="F19" s="217"/>
      <c r="H19" s="208"/>
      <c r="J19" s="217"/>
      <c r="K19" s="211"/>
      <c r="M19" s="209"/>
      <c r="N19" s="207"/>
    </row>
    <row r="21" spans="2:16" ht="20.100000000000001" customHeight="1" x14ac:dyDescent="0.3">
      <c r="B21" s="192" t="s">
        <v>144</v>
      </c>
      <c r="C21" s="194"/>
      <c r="D21" s="192"/>
      <c r="E21" s="194"/>
      <c r="F21" s="194"/>
      <c r="M21" s="193"/>
      <c r="N21" s="193"/>
    </row>
    <row r="22" spans="2:16" ht="20.100000000000001" customHeight="1" x14ac:dyDescent="0.3">
      <c r="M22" s="193"/>
      <c r="N22" s="193"/>
    </row>
    <row r="23" spans="2:16" ht="20.100000000000001" customHeight="1" x14ac:dyDescent="0.3">
      <c r="B23" s="198" t="s">
        <v>145</v>
      </c>
      <c r="C23" s="199" t="s">
        <v>4</v>
      </c>
      <c r="D23" s="205">
        <f>N10</f>
        <v>616</v>
      </c>
      <c r="E23" s="206" t="s">
        <v>146</v>
      </c>
      <c r="F23" s="193">
        <f>D10</f>
        <v>66</v>
      </c>
      <c r="G23" s="193" t="s">
        <v>122</v>
      </c>
      <c r="H23" s="218">
        <f>C6</f>
        <v>0.25</v>
      </c>
      <c r="I23" s="193" t="s">
        <v>123</v>
      </c>
      <c r="M23" s="193" t="s">
        <v>4</v>
      </c>
      <c r="N23" s="205">
        <f>D23-(F23*H23)</f>
        <v>599.5</v>
      </c>
      <c r="O23" s="219"/>
      <c r="P23" s="220"/>
    </row>
    <row r="24" spans="2:16" ht="20.100000000000001" customHeight="1" x14ac:dyDescent="0.3">
      <c r="C24" s="199"/>
      <c r="M24" s="193"/>
      <c r="N24" s="203"/>
      <c r="O24" s="199"/>
      <c r="P24" s="192"/>
    </row>
    <row r="25" spans="2:16" ht="20.100000000000001" customHeight="1" x14ac:dyDescent="0.3">
      <c r="B25" s="198" t="s">
        <v>147</v>
      </c>
      <c r="C25" s="209" t="s">
        <v>4</v>
      </c>
      <c r="D25" s="217">
        <f ca="1">N14</f>
        <v>6.9015543576722377E-2</v>
      </c>
      <c r="E25" s="206" t="s">
        <v>148</v>
      </c>
      <c r="F25" s="221">
        <v>1</v>
      </c>
      <c r="G25" s="206" t="s">
        <v>146</v>
      </c>
      <c r="H25" s="221">
        <f>D10</f>
        <v>66</v>
      </c>
      <c r="I25" s="193" t="s">
        <v>122</v>
      </c>
      <c r="J25" s="222">
        <f>H23</f>
        <v>0.25</v>
      </c>
      <c r="K25" s="204" t="s">
        <v>3</v>
      </c>
      <c r="L25" s="221">
        <f>D23</f>
        <v>616</v>
      </c>
      <c r="M25" s="206" t="s">
        <v>149</v>
      </c>
      <c r="N25" s="208">
        <f ca="1">D25/(F25-(H25*J25/L25))</f>
        <v>7.0915053950393631E-2</v>
      </c>
      <c r="O25" s="219"/>
      <c r="P25" s="223"/>
    </row>
    <row r="26" spans="2:16" ht="20.100000000000001" customHeight="1" x14ac:dyDescent="0.3">
      <c r="C26" s="209"/>
      <c r="D26" s="217"/>
      <c r="E26" s="206"/>
      <c r="F26" s="221"/>
      <c r="G26" s="206"/>
      <c r="H26" s="221"/>
      <c r="J26" s="222"/>
      <c r="K26" s="204"/>
      <c r="L26" s="221"/>
      <c r="M26" s="206"/>
      <c r="N26" s="207"/>
      <c r="O26" s="219"/>
      <c r="P26" s="223"/>
    </row>
    <row r="27" spans="2:16" ht="20.100000000000001" customHeight="1" x14ac:dyDescent="0.3">
      <c r="B27" s="224" t="s">
        <v>150</v>
      </c>
      <c r="C27" s="209"/>
      <c r="D27" s="217"/>
      <c r="E27" s="206"/>
      <c r="F27" s="221"/>
      <c r="G27" s="206"/>
      <c r="H27" s="221"/>
      <c r="J27" s="222"/>
      <c r="K27" s="204"/>
      <c r="L27" s="221"/>
      <c r="M27" s="206"/>
      <c r="N27" s="207"/>
      <c r="O27" s="219"/>
      <c r="P27" s="223"/>
    </row>
    <row r="28" spans="2:16" ht="20.100000000000001" customHeight="1" x14ac:dyDescent="0.3">
      <c r="M28" s="193"/>
      <c r="N28" s="193"/>
      <c r="O28" s="194"/>
      <c r="P28" s="192"/>
    </row>
    <row r="29" spans="2:16" ht="20.100000000000001" customHeight="1" x14ac:dyDescent="0.3">
      <c r="B29" s="192" t="s">
        <v>151</v>
      </c>
      <c r="D29" s="225">
        <v>0.3</v>
      </c>
      <c r="E29" s="290"/>
      <c r="F29" s="290"/>
      <c r="G29" s="290"/>
      <c r="H29" s="290"/>
      <c r="I29" s="290"/>
      <c r="J29" s="226"/>
      <c r="K29" s="226"/>
      <c r="P29" s="194"/>
    </row>
    <row r="30" spans="2:16" ht="20.100000000000001" customHeight="1" x14ac:dyDescent="0.3">
      <c r="M30" s="193"/>
      <c r="N30" s="193"/>
      <c r="O30" s="194"/>
      <c r="P30" s="192"/>
    </row>
    <row r="31" spans="2:16" ht="20.100000000000001" customHeight="1" x14ac:dyDescent="0.3">
      <c r="B31" s="198" t="s">
        <v>152</v>
      </c>
      <c r="C31" s="199" t="s">
        <v>4</v>
      </c>
      <c r="D31" s="205">
        <f>N23</f>
        <v>599.5</v>
      </c>
      <c r="E31" s="206" t="s">
        <v>121</v>
      </c>
      <c r="F31" s="205">
        <f>D33</f>
        <v>194.43243243243242</v>
      </c>
      <c r="G31" s="193" t="s">
        <v>122</v>
      </c>
      <c r="H31" s="222">
        <f>H23</f>
        <v>0.25</v>
      </c>
      <c r="I31" s="193" t="s">
        <v>123</v>
      </c>
      <c r="M31" s="193" t="s">
        <v>4</v>
      </c>
      <c r="N31" s="202">
        <f>D31+(F31*H31)</f>
        <v>648.10810810810813</v>
      </c>
      <c r="O31" s="219" t="s">
        <v>153</v>
      </c>
      <c r="P31" s="220">
        <f>N31-N10</f>
        <v>32.108108108108127</v>
      </c>
    </row>
    <row r="32" spans="2:16" ht="20.100000000000001" customHeight="1" x14ac:dyDescent="0.3">
      <c r="C32" s="199"/>
      <c r="M32" s="193"/>
      <c r="N32" s="193"/>
      <c r="O32" s="219"/>
      <c r="P32" s="192"/>
    </row>
    <row r="33" spans="2:16" ht="20.100000000000001" customHeight="1" x14ac:dyDescent="0.3">
      <c r="B33" s="198" t="s">
        <v>138</v>
      </c>
      <c r="C33" s="199" t="s">
        <v>4</v>
      </c>
      <c r="D33" s="202">
        <f>(D29*N23)/(1-(D29*H23))</f>
        <v>194.43243243243242</v>
      </c>
      <c r="E33" s="204" t="s">
        <v>3</v>
      </c>
      <c r="F33" s="205">
        <f>N31</f>
        <v>648.10810810810813</v>
      </c>
      <c r="M33" s="206" t="s">
        <v>4</v>
      </c>
      <c r="N33" s="207">
        <f>D33/F33</f>
        <v>0.3</v>
      </c>
      <c r="O33" s="219" t="s">
        <v>153</v>
      </c>
      <c r="P33" s="223">
        <f>N33-N12</f>
        <v>0.19285714285714284</v>
      </c>
    </row>
    <row r="34" spans="2:16" ht="20.100000000000001" customHeight="1" x14ac:dyDescent="0.3">
      <c r="C34" s="199"/>
      <c r="M34" s="193"/>
      <c r="N34" s="217"/>
      <c r="O34" s="219"/>
      <c r="P34" s="192"/>
    </row>
    <row r="35" spans="2:16" ht="20.100000000000001" customHeight="1" x14ac:dyDescent="0.3">
      <c r="B35" s="198" t="s">
        <v>154</v>
      </c>
      <c r="C35" s="209" t="s">
        <v>4</v>
      </c>
      <c r="D35" s="217">
        <f ca="1">N25</f>
        <v>7.0915053950393631E-2</v>
      </c>
      <c r="E35" s="206" t="s">
        <v>155</v>
      </c>
      <c r="F35" s="221">
        <v>1</v>
      </c>
      <c r="G35" s="206" t="s">
        <v>146</v>
      </c>
      <c r="H35" s="221">
        <f>D33</f>
        <v>194.43243243243242</v>
      </c>
      <c r="I35" s="193" t="s">
        <v>122</v>
      </c>
      <c r="J35" s="222">
        <f>H23</f>
        <v>0.25</v>
      </c>
      <c r="K35" s="204" t="s">
        <v>3</v>
      </c>
      <c r="L35" s="221">
        <f>N31</f>
        <v>648.10810810810813</v>
      </c>
      <c r="M35" s="206" t="s">
        <v>149</v>
      </c>
      <c r="N35" s="207">
        <f ca="1">D35*(F35-(H35*J35/L35))</f>
        <v>6.5596424904114117E-2</v>
      </c>
      <c r="O35" s="219" t="s">
        <v>156</v>
      </c>
      <c r="P35" s="223">
        <f ca="1">N14-N35</f>
        <v>3.4191186726082595E-3</v>
      </c>
    </row>
    <row r="36" spans="2:16" ht="20.100000000000001" customHeight="1" x14ac:dyDescent="0.3">
      <c r="C36" s="209"/>
      <c r="D36" s="217"/>
      <c r="E36" s="206"/>
      <c r="F36" s="221"/>
      <c r="G36" s="206"/>
      <c r="H36" s="221"/>
      <c r="J36" s="222"/>
      <c r="K36" s="204"/>
      <c r="L36" s="221"/>
      <c r="M36" s="206"/>
      <c r="N36" s="207"/>
      <c r="O36" s="219"/>
      <c r="P36" s="223"/>
    </row>
    <row r="37" spans="2:16" ht="20.100000000000001" customHeight="1" x14ac:dyDescent="0.3">
      <c r="B37" s="224" t="s">
        <v>157</v>
      </c>
      <c r="C37" s="209"/>
      <c r="D37" s="217"/>
      <c r="E37" s="206"/>
      <c r="F37" s="221"/>
      <c r="G37" s="206"/>
      <c r="H37" s="221"/>
      <c r="J37" s="222"/>
      <c r="K37" s="204"/>
      <c r="L37" s="221"/>
      <c r="M37" s="206"/>
      <c r="N37" s="207"/>
      <c r="O37" s="219"/>
      <c r="P37" s="223"/>
    </row>
  </sheetData>
  <mergeCells count="1">
    <mergeCell ref="E29:I29"/>
  </mergeCells>
  <printOptions horizontalCentered="1"/>
  <pageMargins left="0.31496062992125984" right="0.31496062992125984" top="0.55118110236220474" bottom="0.35433070866141736" header="0.31496062992125984" footer="0.31496062992125984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zoomScale="110" zoomScaleNormal="110" workbookViewId="0">
      <selection activeCell="D9" sqref="D9"/>
    </sheetView>
  </sheetViews>
  <sheetFormatPr defaultColWidth="10" defaultRowHeight="22.8" x14ac:dyDescent="0.4"/>
  <cols>
    <col min="1" max="1" width="10" style="227"/>
    <col min="2" max="2" width="29.21875" style="227" customWidth="1"/>
    <col min="3" max="3" width="15.21875" style="227" customWidth="1"/>
    <col min="4" max="5" width="14.77734375" style="227" customWidth="1"/>
    <col min="6" max="6" width="13.6640625" style="227" customWidth="1"/>
    <col min="7" max="7" width="14.33203125" style="227" customWidth="1"/>
    <col min="8" max="8" width="34.6640625" style="227" bestFit="1" customWidth="1"/>
    <col min="9" max="252" width="10" style="227"/>
    <col min="253" max="253" width="61.44140625" style="227" customWidth="1"/>
    <col min="254" max="257" width="19.21875" style="227" customWidth="1"/>
    <col min="258" max="258" width="9.21875" style="227" customWidth="1"/>
    <col min="259" max="508" width="10" style="227"/>
    <col min="509" max="509" width="61.44140625" style="227" customWidth="1"/>
    <col min="510" max="513" width="19.21875" style="227" customWidth="1"/>
    <col min="514" max="514" width="9.21875" style="227" customWidth="1"/>
    <col min="515" max="764" width="10" style="227"/>
    <col min="765" max="765" width="61.44140625" style="227" customWidth="1"/>
    <col min="766" max="769" width="19.21875" style="227" customWidth="1"/>
    <col min="770" max="770" width="9.21875" style="227" customWidth="1"/>
    <col min="771" max="1020" width="10" style="227"/>
    <col min="1021" max="1021" width="61.44140625" style="227" customWidth="1"/>
    <col min="1022" max="1025" width="19.21875" style="227" customWidth="1"/>
    <col min="1026" max="1026" width="9.21875" style="227" customWidth="1"/>
    <col min="1027" max="1276" width="10" style="227"/>
    <col min="1277" max="1277" width="61.44140625" style="227" customWidth="1"/>
    <col min="1278" max="1281" width="19.21875" style="227" customWidth="1"/>
    <col min="1282" max="1282" width="9.21875" style="227" customWidth="1"/>
    <col min="1283" max="1532" width="10" style="227"/>
    <col min="1533" max="1533" width="61.44140625" style="227" customWidth="1"/>
    <col min="1534" max="1537" width="19.21875" style="227" customWidth="1"/>
    <col min="1538" max="1538" width="9.21875" style="227" customWidth="1"/>
    <col min="1539" max="1788" width="10" style="227"/>
    <col min="1789" max="1789" width="61.44140625" style="227" customWidth="1"/>
    <col min="1790" max="1793" width="19.21875" style="227" customWidth="1"/>
    <col min="1794" max="1794" width="9.21875" style="227" customWidth="1"/>
    <col min="1795" max="2044" width="10" style="227"/>
    <col min="2045" max="2045" width="61.44140625" style="227" customWidth="1"/>
    <col min="2046" max="2049" width="19.21875" style="227" customWidth="1"/>
    <col min="2050" max="2050" width="9.21875" style="227" customWidth="1"/>
    <col min="2051" max="2300" width="10" style="227"/>
    <col min="2301" max="2301" width="61.44140625" style="227" customWidth="1"/>
    <col min="2302" max="2305" width="19.21875" style="227" customWidth="1"/>
    <col min="2306" max="2306" width="9.21875" style="227" customWidth="1"/>
    <col min="2307" max="2556" width="10" style="227"/>
    <col min="2557" max="2557" width="61.44140625" style="227" customWidth="1"/>
    <col min="2558" max="2561" width="19.21875" style="227" customWidth="1"/>
    <col min="2562" max="2562" width="9.21875" style="227" customWidth="1"/>
    <col min="2563" max="2812" width="10" style="227"/>
    <col min="2813" max="2813" width="61.44140625" style="227" customWidth="1"/>
    <col min="2814" max="2817" width="19.21875" style="227" customWidth="1"/>
    <col min="2818" max="2818" width="9.21875" style="227" customWidth="1"/>
    <col min="2819" max="3068" width="10" style="227"/>
    <col min="3069" max="3069" width="61.44140625" style="227" customWidth="1"/>
    <col min="3070" max="3073" width="19.21875" style="227" customWidth="1"/>
    <col min="3074" max="3074" width="9.21875" style="227" customWidth="1"/>
    <col min="3075" max="3324" width="10" style="227"/>
    <col min="3325" max="3325" width="61.44140625" style="227" customWidth="1"/>
    <col min="3326" max="3329" width="19.21875" style="227" customWidth="1"/>
    <col min="3330" max="3330" width="9.21875" style="227" customWidth="1"/>
    <col min="3331" max="3580" width="10" style="227"/>
    <col min="3581" max="3581" width="61.44140625" style="227" customWidth="1"/>
    <col min="3582" max="3585" width="19.21875" style="227" customWidth="1"/>
    <col min="3586" max="3586" width="9.21875" style="227" customWidth="1"/>
    <col min="3587" max="3836" width="10" style="227"/>
    <col min="3837" max="3837" width="61.44140625" style="227" customWidth="1"/>
    <col min="3838" max="3841" width="19.21875" style="227" customWidth="1"/>
    <col min="3842" max="3842" width="9.21875" style="227" customWidth="1"/>
    <col min="3843" max="4092" width="10" style="227"/>
    <col min="4093" max="4093" width="61.44140625" style="227" customWidth="1"/>
    <col min="4094" max="4097" width="19.21875" style="227" customWidth="1"/>
    <col min="4098" max="4098" width="9.21875" style="227" customWidth="1"/>
    <col min="4099" max="4348" width="10" style="227"/>
    <col min="4349" max="4349" width="61.44140625" style="227" customWidth="1"/>
    <col min="4350" max="4353" width="19.21875" style="227" customWidth="1"/>
    <col min="4354" max="4354" width="9.21875" style="227" customWidth="1"/>
    <col min="4355" max="4604" width="10" style="227"/>
    <col min="4605" max="4605" width="61.44140625" style="227" customWidth="1"/>
    <col min="4606" max="4609" width="19.21875" style="227" customWidth="1"/>
    <col min="4610" max="4610" width="9.21875" style="227" customWidth="1"/>
    <col min="4611" max="4860" width="10" style="227"/>
    <col min="4861" max="4861" width="61.44140625" style="227" customWidth="1"/>
    <col min="4862" max="4865" width="19.21875" style="227" customWidth="1"/>
    <col min="4866" max="4866" width="9.21875" style="227" customWidth="1"/>
    <col min="4867" max="5116" width="10" style="227"/>
    <col min="5117" max="5117" width="61.44140625" style="227" customWidth="1"/>
    <col min="5118" max="5121" width="19.21875" style="227" customWidth="1"/>
    <col min="5122" max="5122" width="9.21875" style="227" customWidth="1"/>
    <col min="5123" max="5372" width="10" style="227"/>
    <col min="5373" max="5373" width="61.44140625" style="227" customWidth="1"/>
    <col min="5374" max="5377" width="19.21875" style="227" customWidth="1"/>
    <col min="5378" max="5378" width="9.21875" style="227" customWidth="1"/>
    <col min="5379" max="5628" width="10" style="227"/>
    <col min="5629" max="5629" width="61.44140625" style="227" customWidth="1"/>
    <col min="5630" max="5633" width="19.21875" style="227" customWidth="1"/>
    <col min="5634" max="5634" width="9.21875" style="227" customWidth="1"/>
    <col min="5635" max="5884" width="10" style="227"/>
    <col min="5885" max="5885" width="61.44140625" style="227" customWidth="1"/>
    <col min="5886" max="5889" width="19.21875" style="227" customWidth="1"/>
    <col min="5890" max="5890" width="9.21875" style="227" customWidth="1"/>
    <col min="5891" max="6140" width="10" style="227"/>
    <col min="6141" max="6141" width="61.44140625" style="227" customWidth="1"/>
    <col min="6142" max="6145" width="19.21875" style="227" customWidth="1"/>
    <col min="6146" max="6146" width="9.21875" style="227" customWidth="1"/>
    <col min="6147" max="6396" width="10" style="227"/>
    <col min="6397" max="6397" width="61.44140625" style="227" customWidth="1"/>
    <col min="6398" max="6401" width="19.21875" style="227" customWidth="1"/>
    <col min="6402" max="6402" width="9.21875" style="227" customWidth="1"/>
    <col min="6403" max="6652" width="10" style="227"/>
    <col min="6653" max="6653" width="61.44140625" style="227" customWidth="1"/>
    <col min="6654" max="6657" width="19.21875" style="227" customWidth="1"/>
    <col min="6658" max="6658" width="9.21875" style="227" customWidth="1"/>
    <col min="6659" max="6908" width="10" style="227"/>
    <col min="6909" max="6909" width="61.44140625" style="227" customWidth="1"/>
    <col min="6910" max="6913" width="19.21875" style="227" customWidth="1"/>
    <col min="6914" max="6914" width="9.21875" style="227" customWidth="1"/>
    <col min="6915" max="7164" width="10" style="227"/>
    <col min="7165" max="7165" width="61.44140625" style="227" customWidth="1"/>
    <col min="7166" max="7169" width="19.21875" style="227" customWidth="1"/>
    <col min="7170" max="7170" width="9.21875" style="227" customWidth="1"/>
    <col min="7171" max="7420" width="10" style="227"/>
    <col min="7421" max="7421" width="61.44140625" style="227" customWidth="1"/>
    <col min="7422" max="7425" width="19.21875" style="227" customWidth="1"/>
    <col min="7426" max="7426" width="9.21875" style="227" customWidth="1"/>
    <col min="7427" max="7676" width="10" style="227"/>
    <col min="7677" max="7677" width="61.44140625" style="227" customWidth="1"/>
    <col min="7678" max="7681" width="19.21875" style="227" customWidth="1"/>
    <col min="7682" max="7682" width="9.21875" style="227" customWidth="1"/>
    <col min="7683" max="7932" width="10" style="227"/>
    <col min="7933" max="7933" width="61.44140625" style="227" customWidth="1"/>
    <col min="7934" max="7937" width="19.21875" style="227" customWidth="1"/>
    <col min="7938" max="7938" width="9.21875" style="227" customWidth="1"/>
    <col min="7939" max="8188" width="10" style="227"/>
    <col min="8189" max="8189" width="61.44140625" style="227" customWidth="1"/>
    <col min="8190" max="8193" width="19.21875" style="227" customWidth="1"/>
    <col min="8194" max="8194" width="9.21875" style="227" customWidth="1"/>
    <col min="8195" max="8444" width="10" style="227"/>
    <col min="8445" max="8445" width="61.44140625" style="227" customWidth="1"/>
    <col min="8446" max="8449" width="19.21875" style="227" customWidth="1"/>
    <col min="8450" max="8450" width="9.21875" style="227" customWidth="1"/>
    <col min="8451" max="8700" width="10" style="227"/>
    <col min="8701" max="8701" width="61.44140625" style="227" customWidth="1"/>
    <col min="8702" max="8705" width="19.21875" style="227" customWidth="1"/>
    <col min="8706" max="8706" width="9.21875" style="227" customWidth="1"/>
    <col min="8707" max="8956" width="10" style="227"/>
    <col min="8957" max="8957" width="61.44140625" style="227" customWidth="1"/>
    <col min="8958" max="8961" width="19.21875" style="227" customWidth="1"/>
    <col min="8962" max="8962" width="9.21875" style="227" customWidth="1"/>
    <col min="8963" max="9212" width="10" style="227"/>
    <col min="9213" max="9213" width="61.44140625" style="227" customWidth="1"/>
    <col min="9214" max="9217" width="19.21875" style="227" customWidth="1"/>
    <col min="9218" max="9218" width="9.21875" style="227" customWidth="1"/>
    <col min="9219" max="9468" width="10" style="227"/>
    <col min="9469" max="9469" width="61.44140625" style="227" customWidth="1"/>
    <col min="9470" max="9473" width="19.21875" style="227" customWidth="1"/>
    <col min="9474" max="9474" width="9.21875" style="227" customWidth="1"/>
    <col min="9475" max="9724" width="10" style="227"/>
    <col min="9725" max="9725" width="61.44140625" style="227" customWidth="1"/>
    <col min="9726" max="9729" width="19.21875" style="227" customWidth="1"/>
    <col min="9730" max="9730" width="9.21875" style="227" customWidth="1"/>
    <col min="9731" max="9980" width="10" style="227"/>
    <col min="9981" max="9981" width="61.44140625" style="227" customWidth="1"/>
    <col min="9982" max="9985" width="19.21875" style="227" customWidth="1"/>
    <col min="9986" max="9986" width="9.21875" style="227" customWidth="1"/>
    <col min="9987" max="10236" width="10" style="227"/>
    <col min="10237" max="10237" width="61.44140625" style="227" customWidth="1"/>
    <col min="10238" max="10241" width="19.21875" style="227" customWidth="1"/>
    <col min="10242" max="10242" width="9.21875" style="227" customWidth="1"/>
    <col min="10243" max="10492" width="10" style="227"/>
    <col min="10493" max="10493" width="61.44140625" style="227" customWidth="1"/>
    <col min="10494" max="10497" width="19.21875" style="227" customWidth="1"/>
    <col min="10498" max="10498" width="9.21875" style="227" customWidth="1"/>
    <col min="10499" max="10748" width="10" style="227"/>
    <col min="10749" max="10749" width="61.44140625" style="227" customWidth="1"/>
    <col min="10750" max="10753" width="19.21875" style="227" customWidth="1"/>
    <col min="10754" max="10754" width="9.21875" style="227" customWidth="1"/>
    <col min="10755" max="11004" width="10" style="227"/>
    <col min="11005" max="11005" width="61.44140625" style="227" customWidth="1"/>
    <col min="11006" max="11009" width="19.21875" style="227" customWidth="1"/>
    <col min="11010" max="11010" width="9.21875" style="227" customWidth="1"/>
    <col min="11011" max="11260" width="10" style="227"/>
    <col min="11261" max="11261" width="61.44140625" style="227" customWidth="1"/>
    <col min="11262" max="11265" width="19.21875" style="227" customWidth="1"/>
    <col min="11266" max="11266" width="9.21875" style="227" customWidth="1"/>
    <col min="11267" max="11516" width="10" style="227"/>
    <col min="11517" max="11517" width="61.44140625" style="227" customWidth="1"/>
    <col min="11518" max="11521" width="19.21875" style="227" customWidth="1"/>
    <col min="11522" max="11522" width="9.21875" style="227" customWidth="1"/>
    <col min="11523" max="11772" width="10" style="227"/>
    <col min="11773" max="11773" width="61.44140625" style="227" customWidth="1"/>
    <col min="11774" max="11777" width="19.21875" style="227" customWidth="1"/>
    <col min="11778" max="11778" width="9.21875" style="227" customWidth="1"/>
    <col min="11779" max="12028" width="10" style="227"/>
    <col min="12029" max="12029" width="61.44140625" style="227" customWidth="1"/>
    <col min="12030" max="12033" width="19.21875" style="227" customWidth="1"/>
    <col min="12034" max="12034" width="9.21875" style="227" customWidth="1"/>
    <col min="12035" max="12284" width="10" style="227"/>
    <col min="12285" max="12285" width="61.44140625" style="227" customWidth="1"/>
    <col min="12286" max="12289" width="19.21875" style="227" customWidth="1"/>
    <col min="12290" max="12290" width="9.21875" style="227" customWidth="1"/>
    <col min="12291" max="12540" width="10" style="227"/>
    <col min="12541" max="12541" width="61.44140625" style="227" customWidth="1"/>
    <col min="12542" max="12545" width="19.21875" style="227" customWidth="1"/>
    <col min="12546" max="12546" width="9.21875" style="227" customWidth="1"/>
    <col min="12547" max="12796" width="10" style="227"/>
    <col min="12797" max="12797" width="61.44140625" style="227" customWidth="1"/>
    <col min="12798" max="12801" width="19.21875" style="227" customWidth="1"/>
    <col min="12802" max="12802" width="9.21875" style="227" customWidth="1"/>
    <col min="12803" max="13052" width="10" style="227"/>
    <col min="13053" max="13053" width="61.44140625" style="227" customWidth="1"/>
    <col min="13054" max="13057" width="19.21875" style="227" customWidth="1"/>
    <col min="13058" max="13058" width="9.21875" style="227" customWidth="1"/>
    <col min="13059" max="13308" width="10" style="227"/>
    <col min="13309" max="13309" width="61.44140625" style="227" customWidth="1"/>
    <col min="13310" max="13313" width="19.21875" style="227" customWidth="1"/>
    <col min="13314" max="13314" width="9.21875" style="227" customWidth="1"/>
    <col min="13315" max="13564" width="10" style="227"/>
    <col min="13565" max="13565" width="61.44140625" style="227" customWidth="1"/>
    <col min="13566" max="13569" width="19.21875" style="227" customWidth="1"/>
    <col min="13570" max="13570" width="9.21875" style="227" customWidth="1"/>
    <col min="13571" max="13820" width="10" style="227"/>
    <col min="13821" max="13821" width="61.44140625" style="227" customWidth="1"/>
    <col min="13822" max="13825" width="19.21875" style="227" customWidth="1"/>
    <col min="13826" max="13826" width="9.21875" style="227" customWidth="1"/>
    <col min="13827" max="14076" width="10" style="227"/>
    <col min="14077" max="14077" width="61.44140625" style="227" customWidth="1"/>
    <col min="14078" max="14081" width="19.21875" style="227" customWidth="1"/>
    <col min="14082" max="14082" width="9.21875" style="227" customWidth="1"/>
    <col min="14083" max="14332" width="10" style="227"/>
    <col min="14333" max="14333" width="61.44140625" style="227" customWidth="1"/>
    <col min="14334" max="14337" width="19.21875" style="227" customWidth="1"/>
    <col min="14338" max="14338" width="9.21875" style="227" customWidth="1"/>
    <col min="14339" max="14588" width="10" style="227"/>
    <col min="14589" max="14589" width="61.44140625" style="227" customWidth="1"/>
    <col min="14590" max="14593" width="19.21875" style="227" customWidth="1"/>
    <col min="14594" max="14594" width="9.21875" style="227" customWidth="1"/>
    <col min="14595" max="14844" width="10" style="227"/>
    <col min="14845" max="14845" width="61.44140625" style="227" customWidth="1"/>
    <col min="14846" max="14849" width="19.21875" style="227" customWidth="1"/>
    <col min="14850" max="14850" width="9.21875" style="227" customWidth="1"/>
    <col min="14851" max="15100" width="10" style="227"/>
    <col min="15101" max="15101" width="61.44140625" style="227" customWidth="1"/>
    <col min="15102" max="15105" width="19.21875" style="227" customWidth="1"/>
    <col min="15106" max="15106" width="9.21875" style="227" customWidth="1"/>
    <col min="15107" max="15356" width="10" style="227"/>
    <col min="15357" max="15357" width="61.44140625" style="227" customWidth="1"/>
    <col min="15358" max="15361" width="19.21875" style="227" customWidth="1"/>
    <col min="15362" max="15362" width="9.21875" style="227" customWidth="1"/>
    <col min="15363" max="15612" width="10" style="227"/>
    <col min="15613" max="15613" width="61.44140625" style="227" customWidth="1"/>
    <col min="15614" max="15617" width="19.21875" style="227" customWidth="1"/>
    <col min="15618" max="15618" width="9.21875" style="227" customWidth="1"/>
    <col min="15619" max="15868" width="10" style="227"/>
    <col min="15869" max="15869" width="61.44140625" style="227" customWidth="1"/>
    <col min="15870" max="15873" width="19.21875" style="227" customWidth="1"/>
    <col min="15874" max="15874" width="9.21875" style="227" customWidth="1"/>
    <col min="15875" max="16124" width="10" style="227"/>
    <col min="16125" max="16125" width="61.44140625" style="227" customWidth="1"/>
    <col min="16126" max="16129" width="19.21875" style="227" customWidth="1"/>
    <col min="16130" max="16130" width="9.21875" style="227" customWidth="1"/>
    <col min="16131" max="16384" width="10" style="227"/>
  </cols>
  <sheetData>
    <row r="2" spans="2:8" x14ac:dyDescent="0.4">
      <c r="B2" s="51" t="s">
        <v>0</v>
      </c>
    </row>
    <row r="4" spans="2:8" x14ac:dyDescent="0.4">
      <c r="B4" s="228" t="s">
        <v>158</v>
      </c>
      <c r="C4" s="229">
        <v>2020</v>
      </c>
      <c r="D4" s="229">
        <v>2021</v>
      </c>
      <c r="E4" s="229">
        <v>2022</v>
      </c>
      <c r="F4" s="229">
        <v>2023</v>
      </c>
      <c r="G4" s="229">
        <v>2024</v>
      </c>
    </row>
    <row r="5" spans="2:8" x14ac:dyDescent="0.4">
      <c r="B5" s="230" t="s">
        <v>159</v>
      </c>
      <c r="C5" s="231">
        <v>49</v>
      </c>
      <c r="D5" s="231">
        <v>49.7</v>
      </c>
      <c r="E5" s="231">
        <v>50.4</v>
      </c>
      <c r="F5" s="231">
        <v>51.2</v>
      </c>
      <c r="G5" s="231">
        <v>52</v>
      </c>
    </row>
    <row r="6" spans="2:8" x14ac:dyDescent="0.4">
      <c r="B6" s="230" t="s">
        <v>160</v>
      </c>
      <c r="C6" s="231">
        <v>34.799999999999997</v>
      </c>
      <c r="D6" s="231">
        <v>36</v>
      </c>
      <c r="E6" s="231">
        <v>37.299999999999997</v>
      </c>
      <c r="F6" s="231">
        <v>38.6</v>
      </c>
      <c r="G6" s="231">
        <v>40</v>
      </c>
    </row>
    <row r="7" spans="2:8" x14ac:dyDescent="0.4">
      <c r="B7" s="232" t="s">
        <v>161</v>
      </c>
      <c r="C7" s="233">
        <f>C5/C6</f>
        <v>1.4080459770114944</v>
      </c>
      <c r="D7" s="233">
        <f t="shared" ref="D7:G7" si="0">D5/D6</f>
        <v>1.3805555555555555</v>
      </c>
      <c r="E7" s="233">
        <f t="shared" si="0"/>
        <v>1.3512064343163539</v>
      </c>
      <c r="F7" s="233">
        <f t="shared" si="0"/>
        <v>1.3264248704663213</v>
      </c>
      <c r="G7" s="233">
        <f t="shared" si="0"/>
        <v>1.3</v>
      </c>
      <c r="H7" s="234"/>
    </row>
    <row r="8" spans="2:8" x14ac:dyDescent="0.4">
      <c r="B8" s="232" t="s">
        <v>162</v>
      </c>
      <c r="C8" s="233"/>
      <c r="D8" s="235">
        <f>(D6-C6)/C6</f>
        <v>3.4482758620689738E-2</v>
      </c>
      <c r="E8" s="235">
        <f t="shared" ref="E8:G8" si="1">(E6-D6)/D6</f>
        <v>3.6111111111111031E-2</v>
      </c>
      <c r="F8" s="235">
        <f t="shared" si="1"/>
        <v>3.4852546916890201E-2</v>
      </c>
      <c r="G8" s="235">
        <f t="shared" si="1"/>
        <v>3.6269430051813434E-2</v>
      </c>
    </row>
    <row r="9" spans="2:8" x14ac:dyDescent="0.4">
      <c r="B9" s="232" t="s">
        <v>163</v>
      </c>
      <c r="C9" s="236"/>
      <c r="D9" s="235">
        <f>(D5-C5)/C5</f>
        <v>1.4285714285714344E-2</v>
      </c>
      <c r="E9" s="235">
        <f t="shared" ref="E9:G9" si="2">(E5-D5)/D5</f>
        <v>1.4084507042253435E-2</v>
      </c>
      <c r="F9" s="235">
        <f t="shared" si="2"/>
        <v>1.5873015873015959E-2</v>
      </c>
      <c r="G9" s="235">
        <f t="shared" si="2"/>
        <v>1.5624999999999944E-2</v>
      </c>
    </row>
    <row r="12" spans="2:8" x14ac:dyDescent="0.4">
      <c r="C12" s="237"/>
    </row>
    <row r="13" spans="2:8" x14ac:dyDescent="0.4">
      <c r="C13" s="237"/>
    </row>
    <row r="14" spans="2:8" x14ac:dyDescent="0.4">
      <c r="C14" s="238"/>
    </row>
    <row r="16" spans="2:8" ht="23.4" thickBot="1" x14ac:dyDescent="0.45">
      <c r="E16" s="239"/>
    </row>
    <row r="17" spans="2:2" ht="23.4" thickTop="1" x14ac:dyDescent="0.4"/>
    <row r="19" spans="2:2" x14ac:dyDescent="0.4">
      <c r="B19" s="240"/>
    </row>
    <row r="24" spans="2:2" x14ac:dyDescent="0.4">
      <c r="B24" s="241"/>
    </row>
    <row r="25" spans="2:2" x14ac:dyDescent="0.4">
      <c r="B25" s="241"/>
    </row>
    <row r="28" spans="2:2" x14ac:dyDescent="0.4">
      <c r="B28" s="241"/>
    </row>
    <row r="31" spans="2:2" x14ac:dyDescent="0.4">
      <c r="B31" s="241"/>
    </row>
    <row r="32" spans="2:2" x14ac:dyDescent="0.4">
      <c r="B32" s="241"/>
    </row>
    <row r="33" spans="2:2" x14ac:dyDescent="0.4">
      <c r="B33" s="241"/>
    </row>
    <row r="34" spans="2:2" x14ac:dyDescent="0.4">
      <c r="B34" s="241"/>
    </row>
    <row r="35" spans="2:2" x14ac:dyDescent="0.4">
      <c r="B35" s="241"/>
    </row>
  </sheetData>
  <printOptions horizontalCentered="1"/>
  <pageMargins left="0.35433070866141736" right="0.35433070866141736" top="0.98425196850393704" bottom="0.98425196850393704" header="0.51181102362204722" footer="0.51181102362204722"/>
  <pageSetup paperSize="9" scale="70" fitToHeight="2" orientation="portrait" r:id="rId1"/>
  <headerFooter alignWithMargins="0"/>
  <rowBreaks count="1" manualBreakCount="1">
    <brk id="17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Equity valuation</vt:lpstr>
      <vt:lpstr>Cost of Equity</vt:lpstr>
      <vt:lpstr>Debt Capital</vt:lpstr>
      <vt:lpstr>WACC</vt:lpstr>
      <vt:lpstr>Expansion Project</vt:lpstr>
      <vt:lpstr>Investment Appraisal</vt:lpstr>
      <vt:lpstr>Optimal capital with tax</vt:lpstr>
      <vt:lpstr>Optimal dividend policy</vt:lpstr>
      <vt:lpstr>'Cost of Equity'!Print_Area</vt:lpstr>
      <vt:lpstr>'Debt Capital'!Print_Area</vt:lpstr>
      <vt:lpstr>'Equity valuation'!Print_Area</vt:lpstr>
      <vt:lpstr>'Expansion Project'!Print_Area</vt:lpstr>
      <vt:lpstr>'Investment Appraisal'!Print_Area</vt:lpstr>
      <vt:lpstr>'Optimal capital with tax'!Print_Area</vt:lpstr>
      <vt:lpstr>'Optimal dividend policy'!Print_Area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Duong</dc:creator>
  <cp:lastModifiedBy>Nhan Duong</cp:lastModifiedBy>
  <dcterms:created xsi:type="dcterms:W3CDTF">2025-06-17T15:58:03Z</dcterms:created>
  <dcterms:modified xsi:type="dcterms:W3CDTF">2025-06-19T11:57:07Z</dcterms:modified>
</cp:coreProperties>
</file>