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5. BU\2. 2nd semester\1. International Corporate Finance\Assessment\Coursework\Calculation\"/>
    </mc:Choice>
  </mc:AlternateContent>
  <xr:revisionPtr revIDLastSave="0" documentId="13_ncr:1_{19FA7935-851E-402B-B2D1-B51B0DF0DEAB}" xr6:coauthVersionLast="45" xr6:coauthVersionMax="45" xr10:uidLastSave="{00000000-0000-0000-0000-000000000000}"/>
  <bookViews>
    <workbookView xWindow="-110" yWindow="-110" windowWidth="19420" windowHeight="10420" firstSheet="3" activeTab="5" xr2:uid="{00000000-000D-0000-FFFF-FFFF00000000}"/>
  </bookViews>
  <sheets>
    <sheet name="Equity valuation" sheetId="12" r:id="rId1"/>
    <sheet name="Cost of Equity" sheetId="5" r:id="rId2"/>
    <sheet name="Debt Capital" sheetId="9" r:id="rId3"/>
    <sheet name="WACC" sheetId="3" r:id="rId4"/>
    <sheet name="Projects" sheetId="10" r:id="rId5"/>
    <sheet name="Investment Appraisal" sheetId="14" r:id="rId6"/>
    <sheet name="Optimal capital with tax" sheetId="17" r:id="rId7"/>
    <sheet name="Optimal dividend policy" sheetId="16" r:id="rId8"/>
    <sheet name="LinkingMetadata" sheetId="11" state="veryHidden" r:id="rId9"/>
  </sheets>
  <definedNames>
    <definedName name="_xlnm.Print_Area" localSheetId="1">'Cost of Equity'!$A$1:$G$34</definedName>
    <definedName name="_xlnm.Print_Area" localSheetId="2">'Debt Capital'!$B$2:$F$25</definedName>
    <definedName name="_xlnm.Print_Area" localSheetId="0">'Equity valuation'!$A$1:$J$39</definedName>
    <definedName name="_xlnm.Print_Area" localSheetId="5">'Investment Appraisal'!$B$1:$J$110</definedName>
    <definedName name="_xlnm.Print_Area" localSheetId="6">'Optimal capital with tax'!$B$7:$P$37</definedName>
    <definedName name="_xlnm.Print_Area" localSheetId="7">'Optimal dividend policy'!$B$2:$F$36</definedName>
    <definedName name="_xlnm.Print_Area" localSheetId="4">Projects!$B$2:$N$5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1" i="14" l="1"/>
  <c r="E87" i="14"/>
  <c r="D85" i="14" l="1"/>
  <c r="G93" i="14"/>
  <c r="C86" i="14" l="1"/>
  <c r="D8" i="16" l="1"/>
  <c r="C7" i="16"/>
  <c r="D9" i="16"/>
  <c r="D33" i="17" l="1"/>
  <c r="F33" i="17"/>
  <c r="F31" i="17"/>
  <c r="H23" i="17"/>
  <c r="D31" i="17"/>
  <c r="P33" i="17"/>
  <c r="F12" i="17" l="1"/>
  <c r="F10" i="17"/>
  <c r="D10" i="17"/>
  <c r="P31" i="17" l="1"/>
  <c r="N14" i="17" l="1"/>
  <c r="J14" i="17"/>
  <c r="H14" i="17"/>
  <c r="F14" i="17"/>
  <c r="D14" i="17"/>
  <c r="D12" i="17"/>
  <c r="N10" i="17"/>
  <c r="J35" i="17" l="1"/>
  <c r="J25" i="17"/>
  <c r="H31" i="17"/>
  <c r="F23" i="17"/>
  <c r="H25" i="17"/>
  <c r="D23" i="17" l="1"/>
  <c r="N12" i="17"/>
  <c r="L25" i="17"/>
  <c r="N23" i="17"/>
  <c r="D25" i="17" l="1"/>
  <c r="N25" i="17" s="1"/>
  <c r="D35" i="17" s="1"/>
  <c r="N31" i="17"/>
  <c r="H35" i="17"/>
  <c r="N33" i="17" l="1"/>
  <c r="L35" i="17"/>
  <c r="N35" i="17"/>
  <c r="P35" i="17" s="1"/>
  <c r="E55" i="14" l="1"/>
  <c r="O55" i="14"/>
  <c r="E57" i="14"/>
  <c r="O57" i="14" s="1"/>
  <c r="F59" i="14"/>
  <c r="F63" i="14"/>
  <c r="G63" i="14"/>
  <c r="H63" i="14"/>
  <c r="I63" i="14"/>
  <c r="J63" i="14"/>
  <c r="K63" i="14"/>
  <c r="L63" i="14"/>
  <c r="M63" i="14"/>
  <c r="N63" i="14"/>
  <c r="O63" i="14"/>
  <c r="D66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E59" i="14" l="1"/>
  <c r="E69" i="14" s="1"/>
  <c r="E72" i="14" s="1"/>
  <c r="I84" i="14"/>
  <c r="J84" i="14" l="1"/>
  <c r="K84" i="14" l="1"/>
  <c r="L84" i="14" l="1"/>
  <c r="M84" i="14" l="1"/>
  <c r="N84" i="14" l="1"/>
  <c r="O84" i="14" l="1"/>
  <c r="E31" i="14" l="1"/>
  <c r="E19" i="14"/>
  <c r="E16" i="14"/>
  <c r="I9" i="14"/>
  <c r="D5" i="10" s="1"/>
  <c r="G9" i="3"/>
  <c r="F21" i="9"/>
  <c r="C16" i="9"/>
  <c r="C15" i="9"/>
  <c r="F22" i="5"/>
  <c r="F20" i="5"/>
  <c r="D12" i="5"/>
  <c r="I34" i="12"/>
  <c r="H34" i="12"/>
  <c r="J29" i="12"/>
  <c r="J25" i="12"/>
  <c r="H25" i="12"/>
  <c r="F25" i="12"/>
  <c r="I21" i="12"/>
  <c r="H21" i="12"/>
  <c r="J16" i="12"/>
  <c r="J14" i="12"/>
  <c r="J12" i="12"/>
  <c r="H12" i="12"/>
  <c r="F12" i="12"/>
  <c r="G61" i="14" l="1"/>
  <c r="K61" i="14"/>
  <c r="O61" i="14"/>
  <c r="H61" i="14"/>
  <c r="F61" i="14"/>
  <c r="J61" i="14"/>
  <c r="N61" i="14"/>
  <c r="L61" i="14"/>
  <c r="I61" i="14"/>
  <c r="M61" i="14"/>
  <c r="I62" i="14"/>
  <c r="M62" i="14"/>
  <c r="J62" i="14"/>
  <c r="H62" i="14"/>
  <c r="L62" i="14"/>
  <c r="F62" i="14"/>
  <c r="N62" i="14"/>
  <c r="G62" i="14"/>
  <c r="K62" i="14"/>
  <c r="O62" i="14"/>
  <c r="G8" i="16" l="1"/>
  <c r="F8" i="16"/>
  <c r="F9" i="16"/>
  <c r="F4" i="16"/>
  <c r="E4" i="16" s="1"/>
  <c r="D4" i="16" s="1"/>
  <c r="C4" i="16" s="1"/>
  <c r="G9" i="16" l="1"/>
  <c r="E9" i="16"/>
  <c r="D7" i="16"/>
  <c r="E8" i="16"/>
  <c r="E7" i="16"/>
  <c r="F7" i="16"/>
  <c r="G7" i="16"/>
  <c r="D48" i="14"/>
  <c r="O46" i="14"/>
  <c r="D45" i="14"/>
  <c r="F44" i="14"/>
  <c r="E37" i="14"/>
  <c r="E32" i="14"/>
  <c r="E33" i="14" s="1"/>
  <c r="E35" i="14" s="1"/>
  <c r="E38" i="14" s="1"/>
  <c r="F45" i="14" l="1"/>
  <c r="F48" i="14" s="1"/>
  <c r="G56" i="14" s="1"/>
  <c r="G59" i="14" s="1"/>
  <c r="E39" i="14"/>
  <c r="I64" i="14" l="1"/>
  <c r="I65" i="14" s="1"/>
  <c r="M64" i="14"/>
  <c r="M65" i="14" s="1"/>
  <c r="J64" i="14"/>
  <c r="J65" i="14" s="1"/>
  <c r="K66" i="14" s="1"/>
  <c r="H64" i="14"/>
  <c r="H65" i="14" s="1"/>
  <c r="I66" i="14" s="1"/>
  <c r="L64" i="14"/>
  <c r="L65" i="14" s="1"/>
  <c r="M66" i="14" s="1"/>
  <c r="F64" i="14"/>
  <c r="F65" i="14" s="1"/>
  <c r="N64" i="14"/>
  <c r="N65" i="14" s="1"/>
  <c r="O66" i="14" s="1"/>
  <c r="O67" i="14" s="1"/>
  <c r="G64" i="14"/>
  <c r="G65" i="14" s="1"/>
  <c r="K64" i="14"/>
  <c r="K65" i="14" s="1"/>
  <c r="O64" i="14"/>
  <c r="O65" i="14" s="1"/>
  <c r="P66" i="14" s="1"/>
  <c r="P67" i="14" s="1"/>
  <c r="F46" i="14"/>
  <c r="G44" i="14" s="1"/>
  <c r="G45" i="14" s="1"/>
  <c r="G48" i="14" s="1"/>
  <c r="H56" i="14" s="1"/>
  <c r="H59" i="14" s="1"/>
  <c r="H66" i="14" l="1"/>
  <c r="H67" i="14" s="1"/>
  <c r="H69" i="14" s="1"/>
  <c r="H72" i="14" s="1"/>
  <c r="F67" i="14"/>
  <c r="F69" i="14" s="1"/>
  <c r="F72" i="14" s="1"/>
  <c r="E85" i="14" s="1"/>
  <c r="G66" i="14"/>
  <c r="G67" i="14" s="1"/>
  <c r="G69" i="14" s="1"/>
  <c r="G72" i="14" s="1"/>
  <c r="N66" i="14"/>
  <c r="N67" i="14" s="1"/>
  <c r="M67" i="14"/>
  <c r="K67" i="14"/>
  <c r="L66" i="14"/>
  <c r="L67" i="14" s="1"/>
  <c r="J66" i="14"/>
  <c r="J67" i="14" s="1"/>
  <c r="I67" i="14"/>
  <c r="G46" i="14"/>
  <c r="H44" i="14" s="1"/>
  <c r="G85" i="14" l="1"/>
  <c r="F85" i="14"/>
  <c r="H45" i="14"/>
  <c r="H48" i="14" s="1"/>
  <c r="I56" i="14" s="1"/>
  <c r="I59" i="14" s="1"/>
  <c r="I69" i="14" s="1"/>
  <c r="I72" i="14" s="1"/>
  <c r="H85" i="14" l="1"/>
  <c r="H46" i="14"/>
  <c r="I44" i="14" s="1"/>
  <c r="I45" i="14" s="1"/>
  <c r="I48" i="14" s="1"/>
  <c r="J56" i="14" s="1"/>
  <c r="J59" i="14" s="1"/>
  <c r="J69" i="14" s="1"/>
  <c r="J72" i="14" s="1"/>
  <c r="I85" i="14" l="1"/>
  <c r="I46" i="14"/>
  <c r="J44" i="14" s="1"/>
  <c r="J45" i="14" s="1"/>
  <c r="J48" i="14" s="1"/>
  <c r="K56" i="14" s="1"/>
  <c r="K59" i="14" s="1"/>
  <c r="K69" i="14" s="1"/>
  <c r="K72" i="14" s="1"/>
  <c r="J46" i="14" l="1"/>
  <c r="K44" i="14" s="1"/>
  <c r="K45" i="14" s="1"/>
  <c r="K48" i="14" s="1"/>
  <c r="J85" i="14"/>
  <c r="L56" i="14" l="1"/>
  <c r="L59" i="14" s="1"/>
  <c r="L69" i="14" s="1"/>
  <c r="L72" i="14" s="1"/>
  <c r="K85" i="14" s="1"/>
  <c r="K46" i="14"/>
  <c r="L44" i="14" s="1"/>
  <c r="L45" i="14" s="1"/>
  <c r="L48" i="14" s="1"/>
  <c r="M56" i="14" l="1"/>
  <c r="M59" i="14" s="1"/>
  <c r="M69" i="14" s="1"/>
  <c r="M72" i="14" s="1"/>
  <c r="L85" i="14" s="1"/>
  <c r="L46" i="14"/>
  <c r="M44" i="14" s="1"/>
  <c r="M45" i="14" l="1"/>
  <c r="M48" i="14" s="1"/>
  <c r="N56" i="14" l="1"/>
  <c r="N59" i="14" s="1"/>
  <c r="N69" i="14" s="1"/>
  <c r="N72" i="14" s="1"/>
  <c r="M85" i="14" s="1"/>
  <c r="M46" i="14"/>
  <c r="N44" i="14" s="1"/>
  <c r="N45" i="14" l="1"/>
  <c r="N48" i="14" s="1"/>
  <c r="O56" i="14" s="1"/>
  <c r="O59" i="14" s="1"/>
  <c r="O69" i="14" s="1"/>
  <c r="O72" i="14" s="1"/>
  <c r="N46" i="14" l="1"/>
  <c r="O44" i="14" s="1"/>
  <c r="O45" i="14" s="1"/>
  <c r="O48" i="14" s="1"/>
  <c r="P56" i="14" s="1"/>
  <c r="P59" i="14" s="1"/>
  <c r="P69" i="14" s="1"/>
  <c r="P72" i="14" s="1"/>
  <c r="N85" i="14"/>
  <c r="H33" i="12"/>
  <c r="L28" i="12"/>
  <c r="J27" i="12"/>
  <c r="J31" i="12"/>
  <c r="H20" i="12"/>
  <c r="J18" i="12"/>
  <c r="I6" i="12"/>
  <c r="I20" i="12" s="1"/>
  <c r="G6" i="12"/>
  <c r="F6" i="12"/>
  <c r="E6" i="12" s="1"/>
  <c r="D6" i="12" s="1"/>
  <c r="C6" i="12" s="1"/>
  <c r="O85" i="14" l="1"/>
  <c r="I33" i="12"/>
  <c r="M5" i="10" l="1"/>
  <c r="F37" i="9"/>
  <c r="F33" i="9"/>
  <c r="F27" i="9" l="1"/>
  <c r="C11" i="3"/>
  <c r="C13" i="3" l="1"/>
  <c r="F29" i="9"/>
  <c r="F25" i="9" s="1"/>
  <c r="C9" i="3"/>
  <c r="E9" i="3"/>
  <c r="E11" i="3" l="1"/>
  <c r="G11" i="3" l="1"/>
  <c r="G13" i="3" s="1"/>
  <c r="D74" i="14" l="1"/>
  <c r="L5" i="10"/>
  <c r="P74" i="14" l="1"/>
  <c r="P75" i="14" s="1"/>
  <c r="P103" i="14" s="1"/>
  <c r="C93" i="14"/>
  <c r="C95" i="14" s="1"/>
  <c r="J74" i="14"/>
  <c r="J75" i="14" s="1"/>
  <c r="J103" i="14" s="1"/>
  <c r="E74" i="14"/>
  <c r="N74" i="14"/>
  <c r="N75" i="14" s="1"/>
  <c r="N103" i="14" s="1"/>
  <c r="I74" i="14"/>
  <c r="I75" i="14" s="1"/>
  <c r="I103" i="14" s="1"/>
  <c r="L74" i="14"/>
  <c r="L75" i="14" s="1"/>
  <c r="L103" i="14" s="1"/>
  <c r="F74" i="14"/>
  <c r="F75" i="14" s="1"/>
  <c r="K74" i="14"/>
  <c r="K75" i="14" s="1"/>
  <c r="K103" i="14" s="1"/>
  <c r="H74" i="14"/>
  <c r="H75" i="14" s="1"/>
  <c r="H103" i="14" s="1"/>
  <c r="O74" i="14"/>
  <c r="O75" i="14" s="1"/>
  <c r="O103" i="14" s="1"/>
  <c r="D103" i="14"/>
  <c r="M74" i="14"/>
  <c r="M75" i="14" s="1"/>
  <c r="M103" i="14" s="1"/>
  <c r="G74" i="14"/>
  <c r="G75" i="14" s="1"/>
  <c r="G103" i="14" s="1"/>
  <c r="E75" i="14" l="1"/>
  <c r="F103" i="14"/>
  <c r="E103" i="14" l="1"/>
  <c r="E104" i="14" s="1"/>
  <c r="F104" i="14" s="1"/>
  <c r="G104" i="14" s="1"/>
  <c r="H104" i="14" s="1"/>
  <c r="I104" i="14" s="1"/>
  <c r="J104" i="14" s="1"/>
  <c r="K104" i="14" s="1"/>
  <c r="E106" i="14" s="1"/>
  <c r="E77" i="14"/>
  <c r="L104" i="14" l="1"/>
  <c r="M104" i="14" s="1"/>
  <c r="N104" i="14" s="1"/>
  <c r="O104" i="14"/>
  <c r="P104" i="14" s="1"/>
  <c r="H86" i="14" l="1"/>
  <c r="H87" i="14" s="1"/>
  <c r="L86" i="14"/>
  <c r="L87" i="14" s="1"/>
  <c r="D86" i="14"/>
  <c r="D87" i="14" s="1"/>
  <c r="E93" i="14"/>
  <c r="E86" i="14"/>
  <c r="I86" i="14"/>
  <c r="I87" i="14" s="1"/>
  <c r="M86" i="14"/>
  <c r="M87" i="14" s="1"/>
  <c r="F86" i="14"/>
  <c r="F87" i="14" s="1"/>
  <c r="J86" i="14"/>
  <c r="J87" i="14" s="1"/>
  <c r="N86" i="14"/>
  <c r="N87" i="14" s="1"/>
  <c r="G86" i="14"/>
  <c r="G87" i="14" s="1"/>
  <c r="K86" i="14"/>
  <c r="K87" i="14" s="1"/>
  <c r="O86" i="14"/>
  <c r="O87" i="14" s="1"/>
  <c r="D89" i="14" l="1"/>
  <c r="E95" i="14" s="1"/>
  <c r="D97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O55" authorId="0" shapeId="0" xr:uid="{98F5970B-0217-440D-9102-52EFCD944010}">
      <text>
        <r>
          <rPr>
            <sz val="9"/>
            <color indexed="81"/>
            <rFont val="Tahoma"/>
            <family val="2"/>
          </rPr>
          <t xml:space="preserve">Stated in money terms and thus already includes inflation.
</t>
        </r>
      </text>
    </comment>
    <comment ref="O57" authorId="0" shapeId="0" xr:uid="{83895885-5AF9-4008-A949-B9D8440FD970}">
      <text>
        <r>
          <rPr>
            <sz val="9"/>
            <color indexed="81"/>
            <rFont val="Tahoma"/>
            <family val="2"/>
          </rPr>
          <t xml:space="preserve">Stated in current prices hence must be inflated by general inflation rate for 10 years.
</t>
        </r>
      </text>
    </comment>
  </commentList>
</comments>
</file>

<file path=xl/sharedStrings.xml><?xml version="1.0" encoding="utf-8"?>
<sst xmlns="http://schemas.openxmlformats.org/spreadsheetml/2006/main" count="288" uniqueCount="217">
  <si>
    <t>years</t>
  </si>
  <si>
    <t>Weighted average cost of capital</t>
  </si>
  <si>
    <t>Capital</t>
  </si>
  <si>
    <t>Cost of capital after tax</t>
  </si>
  <si>
    <t>Weight:</t>
  </si>
  <si>
    <t>Project</t>
  </si>
  <si>
    <t>Country</t>
  </si>
  <si>
    <t>Proposed source of finance</t>
  </si>
  <si>
    <t>Expected IRR</t>
  </si>
  <si>
    <t>A</t>
  </si>
  <si>
    <t>Can the WACC be used?</t>
  </si>
  <si>
    <t>Yes</t>
  </si>
  <si>
    <t>No</t>
  </si>
  <si>
    <t>Existing resources</t>
  </si>
  <si>
    <t>Decision</t>
  </si>
  <si>
    <r>
      <t xml:space="preserve">Is the project size marginal? </t>
    </r>
    <r>
      <rPr>
        <b/>
        <vertAlign val="superscript"/>
        <sz val="14"/>
        <rFont val="Arial"/>
        <family val="2"/>
      </rPr>
      <t>1</t>
    </r>
  </si>
  <si>
    <r>
      <t xml:space="preserve">Will the project affect business risk? </t>
    </r>
    <r>
      <rPr>
        <b/>
        <vertAlign val="superscript"/>
        <sz val="14"/>
        <rFont val="Arial"/>
        <family val="2"/>
      </rPr>
      <t>2</t>
    </r>
  </si>
  <si>
    <r>
      <t xml:space="preserve">Will the project affect financial risk? </t>
    </r>
    <r>
      <rPr>
        <b/>
        <vertAlign val="superscript"/>
        <sz val="14"/>
        <rFont val="Arial"/>
        <family val="2"/>
      </rPr>
      <t>3</t>
    </r>
  </si>
  <si>
    <t>WACC Estimate</t>
  </si>
  <si>
    <t>Total market value =</t>
  </si>
  <si>
    <t>WACC =</t>
  </si>
  <si>
    <t>Equity</t>
  </si>
  <si>
    <t>Debt</t>
  </si>
  <si>
    <t>Bonds</t>
  </si>
  <si>
    <t>Accept</t>
  </si>
  <si>
    <t>Clean share price (£ pence):</t>
  </si>
  <si>
    <t>Year ended 30th September</t>
  </si>
  <si>
    <t>Annual dividend per share (£ pence)</t>
  </si>
  <si>
    <t>Calculating a company’s expected future dividend growth rate (g):</t>
  </si>
  <si>
    <t>Book value in issue (£ million)</t>
  </si>
  <si>
    <t>Coupon rate (paid semi‐annually)</t>
  </si>
  <si>
    <t>Years to redemption</t>
  </si>
  <si>
    <t>Ex-dividend share price</t>
  </si>
  <si>
    <t>the UK marginal corporate tax rate</t>
  </si>
  <si>
    <r>
      <t xml:space="preserve">Cost of capital x market value </t>
    </r>
    <r>
      <rPr>
        <b/>
        <sz val="18"/>
        <rFont val="Calibri"/>
        <family val="2"/>
      </rPr>
      <t>÷</t>
    </r>
    <r>
      <rPr>
        <b/>
        <i/>
        <sz val="18"/>
        <rFont val="Arial"/>
        <family val="2"/>
      </rPr>
      <t xml:space="preserve"> total market value</t>
    </r>
  </si>
  <si>
    <t>Actual cost of debt using Excel = YIELD function:</t>
  </si>
  <si>
    <t>Settlement (today's date)</t>
  </si>
  <si>
    <t>Year to maturity</t>
  </si>
  <si>
    <t>Maturity (redemption date)</t>
  </si>
  <si>
    <t>Coupon (pre-tax)</t>
  </si>
  <si>
    <t>Corporate tax rate</t>
  </si>
  <si>
    <t>Rate (post-tax)</t>
  </si>
  <si>
    <t>Redemption (nominal value)</t>
  </si>
  <si>
    <t>Frequency (number of interest payments per annum)</t>
  </si>
  <si>
    <r>
      <t xml:space="preserve">Market value </t>
    </r>
    <r>
      <rPr>
        <b/>
        <sz val="18"/>
        <rFont val="Calibri"/>
        <family val="2"/>
      </rPr>
      <t>£</t>
    </r>
    <r>
      <rPr>
        <b/>
        <sz val="18"/>
        <rFont val="Arial"/>
        <family val="2"/>
      </rPr>
      <t>m</t>
    </r>
  </si>
  <si>
    <t>Edinburgh plc</t>
  </si>
  <si>
    <t xml:space="preserve">Number of share in issue (m) </t>
  </si>
  <si>
    <t>Cum-interest bond price (£)</t>
  </si>
  <si>
    <t>Less: accrued pre-tax interest (£)</t>
  </si>
  <si>
    <t>Clean share price (£)</t>
  </si>
  <si>
    <t>Convert cum-interest price to clean bond price</t>
  </si>
  <si>
    <t>Price (dirty cum interest price)</t>
  </si>
  <si>
    <t>Accrued interest</t>
  </si>
  <si>
    <t>Pr (clean ex-interest price)</t>
  </si>
  <si>
    <t>Expansion project in Belgium</t>
  </si>
  <si>
    <t>Belgium</t>
  </si>
  <si>
    <t>Current share price (£) :</t>
  </si>
  <si>
    <t>Actual</t>
  </si>
  <si>
    <t>Forecast</t>
  </si>
  <si>
    <r>
      <t>Earnings per share (</t>
    </r>
    <r>
      <rPr>
        <sz val="12"/>
        <color theme="1"/>
        <rFont val="Calibri"/>
        <family val="2"/>
      </rPr>
      <t>£</t>
    </r>
    <r>
      <rPr>
        <sz val="12"/>
        <color theme="1"/>
        <rFont val="Calibri"/>
        <family val="2"/>
        <scheme val="minor"/>
      </rPr>
      <t>)</t>
    </r>
  </si>
  <si>
    <r>
      <t>Dividend per share (</t>
    </r>
    <r>
      <rPr>
        <sz val="12"/>
        <color theme="1"/>
        <rFont val="Calibri"/>
        <family val="2"/>
      </rPr>
      <t>£</t>
    </r>
    <r>
      <rPr>
        <sz val="12"/>
        <color theme="1"/>
        <rFont val="Calibri"/>
        <family val="2"/>
        <scheme val="minor"/>
      </rPr>
      <t>)</t>
    </r>
  </si>
  <si>
    <r>
      <t xml:space="preserve">Price earnings ratio = share price </t>
    </r>
    <r>
      <rPr>
        <b/>
        <u/>
        <sz val="12"/>
        <color theme="1"/>
        <rFont val="Calibri"/>
        <family val="2"/>
      </rPr>
      <t>÷ prospective earnings per share</t>
    </r>
  </si>
  <si>
    <t>PER of company's shares</t>
  </si>
  <si>
    <t>÷</t>
  </si>
  <si>
    <t>=</t>
  </si>
  <si>
    <t>Undervalued below</t>
  </si>
  <si>
    <t>Co PER &lt; Index PER -10%</t>
  </si>
  <si>
    <t>PER of index</t>
  </si>
  <si>
    <t>Fairly valued between</t>
  </si>
  <si>
    <t>and</t>
  </si>
  <si>
    <t>Overvalued above</t>
  </si>
  <si>
    <t>Co PER &gt; Index PER +10%</t>
  </si>
  <si>
    <t>Hence the shares appear to be</t>
  </si>
  <si>
    <t>But is this justified by forecast EPS growth of</t>
  </si>
  <si>
    <r>
      <t xml:space="preserve">Dividend yield = prospective dividend per share </t>
    </r>
    <r>
      <rPr>
        <b/>
        <u/>
        <sz val="12"/>
        <color theme="1"/>
        <rFont val="Calibri"/>
        <family val="2"/>
      </rPr>
      <t>÷ share price</t>
    </r>
  </si>
  <si>
    <t>DY of company's shares</t>
  </si>
  <si>
    <t>Undervalued above</t>
  </si>
  <si>
    <t>Co DY &gt; Index DY +10%</t>
  </si>
  <si>
    <t>DY of index</t>
  </si>
  <si>
    <t>Overvalued below</t>
  </si>
  <si>
    <t>Co DY &lt; Index DY -10%</t>
  </si>
  <si>
    <t>But is this justified by forecast DPS growth of</t>
  </si>
  <si>
    <t>Overall opinion on valuation</t>
  </si>
  <si>
    <t>Are the shares currently fairly priced by the equity market?</t>
  </si>
  <si>
    <t>If no, are the shares currently undervalued or overvalued?</t>
  </si>
  <si>
    <t>Overvalued</t>
  </si>
  <si>
    <t>Data entry section:</t>
  </si>
  <si>
    <t>Life of the expanded facility</t>
  </si>
  <si>
    <t>Current foreign exchange rate (EUR/GBP)</t>
  </si>
  <si>
    <t>hedged</t>
  </si>
  <si>
    <t>Capital investment (EUR)</t>
  </si>
  <si>
    <t>which qualifies for capital allowances</t>
  </si>
  <si>
    <t>Disposal proceeds (EUR)</t>
  </si>
  <si>
    <r>
      <t xml:space="preserve">in </t>
    </r>
    <r>
      <rPr>
        <sz val="11"/>
        <color rgb="FFFF0000"/>
        <rFont val="Calibri"/>
        <family val="2"/>
        <scheme val="minor"/>
      </rPr>
      <t>money terms</t>
    </r>
    <r>
      <rPr>
        <sz val="10"/>
        <rFont val="Arial"/>
      </rPr>
      <t xml:space="preserve"> at the end of the project</t>
    </r>
  </si>
  <si>
    <t>Working capital requirement (EUR)</t>
  </si>
  <si>
    <t>which will be released at the end of the project</t>
  </si>
  <si>
    <t>Belgium capital allowance rate</t>
  </si>
  <si>
    <t>Additional units sold</t>
  </si>
  <si>
    <t>per annual</t>
  </si>
  <si>
    <t>Selling price per unit (EUR)</t>
  </si>
  <si>
    <t>Annual sales revenues (EUR)</t>
  </si>
  <si>
    <r>
      <t xml:space="preserve">which is expected to change by +1% per annum, </t>
    </r>
    <r>
      <rPr>
        <sz val="11"/>
        <color rgb="FFFF0000"/>
        <rFont val="Calibri"/>
        <family val="2"/>
        <scheme val="minor"/>
      </rPr>
      <t>money terms</t>
    </r>
  </si>
  <si>
    <t>Direct cost per unit (EUR)</t>
  </si>
  <si>
    <t>Annual direct cost (EUR)</t>
  </si>
  <si>
    <r>
      <t xml:space="preserve">which is expected to change by -1% per annum, </t>
    </r>
    <r>
      <rPr>
        <sz val="11"/>
        <color rgb="FFFF0000"/>
        <rFont val="Calibri"/>
        <family val="2"/>
        <scheme val="minor"/>
      </rPr>
      <t>money terms</t>
    </r>
  </si>
  <si>
    <t>Additional staff cost (EUR)</t>
  </si>
  <si>
    <r>
      <t xml:space="preserve">which is expected to change by +2% per annum, </t>
    </r>
    <r>
      <rPr>
        <sz val="11"/>
        <color rgb="FFFF0000"/>
        <rFont val="Calibri"/>
        <family val="2"/>
        <scheme val="minor"/>
      </rPr>
      <t>money terms</t>
    </r>
  </si>
  <si>
    <t>Additional overhead cost (EUR)</t>
  </si>
  <si>
    <r>
      <t xml:space="preserve">which is expected to remain unchanged / including depreciation, </t>
    </r>
    <r>
      <rPr>
        <sz val="11"/>
        <color rgb="FFFF0000"/>
        <rFont val="Calibri"/>
        <family val="2"/>
        <scheme val="minor"/>
      </rPr>
      <t>money terms</t>
    </r>
  </si>
  <si>
    <t>Belgium corporate tax rate</t>
  </si>
  <si>
    <t>UK corporate tax rate</t>
  </si>
  <si>
    <t>Belgium inflation rate</t>
  </si>
  <si>
    <t>British inflation rate</t>
  </si>
  <si>
    <t>Post tax money discount rate</t>
  </si>
  <si>
    <t>already in money terms</t>
  </si>
  <si>
    <t>Depreciation calculation:</t>
  </si>
  <si>
    <t>Cost of investment</t>
  </si>
  <si>
    <t>Less: disposal proceeds</t>
  </si>
  <si>
    <t>Depreciable amount</t>
  </si>
  <si>
    <t>Project life</t>
  </si>
  <si>
    <t>Annual straight line depreciation</t>
  </si>
  <si>
    <t>Overhead cost</t>
  </si>
  <si>
    <t>Less: depreciation</t>
  </si>
  <si>
    <t>Relevant overhead cost p.a. (EUR )</t>
  </si>
  <si>
    <t>Capital allowances calculation:</t>
  </si>
  <si>
    <t>Year</t>
  </si>
  <si>
    <t>TWDV b/fwd</t>
  </si>
  <si>
    <t>Belgium's capital allowance rate @</t>
  </si>
  <si>
    <t>TWDV c/fwd</t>
  </si>
  <si>
    <t>disposal proceeds</t>
  </si>
  <si>
    <t>Tax Relief @</t>
  </si>
  <si>
    <t>of WDA</t>
  </si>
  <si>
    <t>Net Present Value</t>
  </si>
  <si>
    <t>Investment/disposal proceeds</t>
  </si>
  <si>
    <t>Tax relief on capital allowances</t>
  </si>
  <si>
    <t>Working capital</t>
  </si>
  <si>
    <t>inflated by</t>
  </si>
  <si>
    <t>Capital cash flows</t>
  </si>
  <si>
    <t>Sales revenues is expected to change by</t>
  </si>
  <si>
    <t>Direct cost is expected to change by</t>
  </si>
  <si>
    <t>Staff cost is expected to change by</t>
  </si>
  <si>
    <t>Overhead cost (remain unchanged)</t>
  </si>
  <si>
    <t>Pre-tax trading cash flows</t>
  </si>
  <si>
    <t>Corporate tax rate @</t>
  </si>
  <si>
    <t>Post-tax trading cash flows</t>
  </si>
  <si>
    <t>Net cash flows (EUR)</t>
  </si>
  <si>
    <t>EUR/GBP rate</t>
  </si>
  <si>
    <t>Net cash flows (£)</t>
  </si>
  <si>
    <t>Discount factors @</t>
  </si>
  <si>
    <t>Present values (£)</t>
  </si>
  <si>
    <t>NPV (£) =</t>
  </si>
  <si>
    <t>Advice: set-up the facility</t>
  </si>
  <si>
    <t>Internal Rate of Return</t>
  </si>
  <si>
    <t>IRR =</t>
  </si>
  <si>
    <t>cacluated exactly using the IRR function in ExceL</t>
  </si>
  <si>
    <t>Discounted Payback Period</t>
  </si>
  <si>
    <t>Present values (£) @</t>
  </si>
  <si>
    <t>Cumulative present values (£)</t>
  </si>
  <si>
    <t>DPP =</t>
  </si>
  <si>
    <t>Advice</t>
  </si>
  <si>
    <t>Investment amount (£m)</t>
  </si>
  <si>
    <t>Hurtle period =</t>
  </si>
  <si>
    <r>
      <rPr>
        <b/>
        <u/>
        <sz val="12"/>
        <color theme="1"/>
        <rFont val="Calibri"/>
        <family val="2"/>
        <scheme val="minor"/>
      </rPr>
      <t>With-Tax</t>
    </r>
    <r>
      <rPr>
        <b/>
        <sz val="12"/>
        <color theme="1"/>
        <rFont val="Calibri"/>
        <family val="2"/>
        <scheme val="minor"/>
      </rPr>
      <t xml:space="preserve"> Theory of Capital Structure</t>
    </r>
  </si>
  <si>
    <t>Data</t>
  </si>
  <si>
    <t>Market value (V) £m</t>
  </si>
  <si>
    <t>Post-Tax Cost (K)</t>
  </si>
  <si>
    <r>
      <t>Corporation tax rate (T</t>
    </r>
    <r>
      <rPr>
        <vertAlign val="subscript"/>
        <sz val="12"/>
        <color theme="1"/>
        <rFont val="Calibri"/>
        <family val="2"/>
        <scheme val="minor"/>
      </rPr>
      <t>c</t>
    </r>
    <r>
      <rPr>
        <sz val="10"/>
        <rFont val="Arial"/>
      </rPr>
      <t>)</t>
    </r>
  </si>
  <si>
    <t>Current capital structure</t>
  </si>
  <si>
    <t>+</t>
  </si>
  <si>
    <t>= (</t>
  </si>
  <si>
    <t>x</t>
  </si>
  <si>
    <t>) + (</t>
  </si>
  <si>
    <t>)</t>
  </si>
  <si>
    <t>Year ended 30 September</t>
  </si>
  <si>
    <t>Earnings per share (p)</t>
  </si>
  <si>
    <t>Dividend per share (p)</t>
  </si>
  <si>
    <t>Dividend cover</t>
  </si>
  <si>
    <t>Change in dividend</t>
  </si>
  <si>
    <t>Change in earnings per share</t>
  </si>
  <si>
    <r>
      <t>Market value (V</t>
    </r>
    <r>
      <rPr>
        <b/>
        <vertAlign val="subscript"/>
        <sz val="14"/>
        <rFont val="Arial"/>
        <family val="2"/>
      </rPr>
      <t>E</t>
    </r>
    <r>
      <rPr>
        <b/>
        <sz val="14"/>
        <rFont val="Arial"/>
        <family val="2"/>
      </rPr>
      <t>):</t>
    </r>
  </si>
  <si>
    <r>
      <t>V</t>
    </r>
    <r>
      <rPr>
        <vertAlign val="subscript"/>
        <sz val="14"/>
        <rFont val="Arial"/>
        <family val="2"/>
      </rPr>
      <t>E</t>
    </r>
    <r>
      <rPr>
        <sz val="14"/>
        <rFont val="Arial"/>
        <family val="2"/>
      </rPr>
      <t xml:space="preserve"> = no. of shares in issue x clean share price</t>
    </r>
  </si>
  <si>
    <r>
      <t>V</t>
    </r>
    <r>
      <rPr>
        <vertAlign val="subscript"/>
        <sz val="14"/>
        <rFont val="Arial"/>
        <family val="2"/>
      </rPr>
      <t>E</t>
    </r>
    <r>
      <rPr>
        <sz val="14"/>
        <rFont val="Arial"/>
        <family val="2"/>
      </rPr>
      <t xml:space="preserve"> (£ million) = 50 million x £11 =</t>
    </r>
  </si>
  <si>
    <r>
      <t>Cost of equity (K</t>
    </r>
    <r>
      <rPr>
        <b/>
        <vertAlign val="subscript"/>
        <sz val="14"/>
        <rFont val="Arial"/>
        <family val="2"/>
      </rPr>
      <t>E</t>
    </r>
    <r>
      <rPr>
        <b/>
        <sz val="14"/>
        <rFont val="Arial"/>
        <family val="2"/>
      </rPr>
      <t>) using the dividend valuation model (DVM):</t>
    </r>
  </si>
  <si>
    <r>
      <t>[ 4</t>
    </r>
    <r>
      <rPr>
        <sz val="14"/>
        <rFont val="Calibri"/>
        <family val="2"/>
      </rPr>
      <t>√</t>
    </r>
    <r>
      <rPr>
        <sz val="14"/>
        <rFont val="Arial"/>
        <family val="2"/>
      </rPr>
      <t xml:space="preserve">(40 </t>
    </r>
    <r>
      <rPr>
        <sz val="14"/>
        <rFont val="Calibri"/>
        <family val="2"/>
      </rPr>
      <t>÷</t>
    </r>
    <r>
      <rPr>
        <sz val="14"/>
        <rFont val="Arial"/>
        <family val="2"/>
      </rPr>
      <t xml:space="preserve"> 34.8)] - 1 =</t>
    </r>
  </si>
  <si>
    <r>
      <t>Estimated K</t>
    </r>
    <r>
      <rPr>
        <vertAlign val="subscript"/>
        <sz val="14"/>
        <rFont val="Arial"/>
        <family val="2"/>
      </rPr>
      <t>E</t>
    </r>
    <r>
      <rPr>
        <sz val="14"/>
        <rFont val="Arial"/>
        <family val="2"/>
      </rPr>
      <t xml:space="preserve"> using DVM formula:</t>
    </r>
  </si>
  <si>
    <r>
      <t xml:space="preserve">{[40 x (1+3.5%)] </t>
    </r>
    <r>
      <rPr>
        <sz val="14"/>
        <rFont val="Calibri"/>
        <family val="2"/>
      </rPr>
      <t>÷</t>
    </r>
    <r>
      <rPr>
        <sz val="14"/>
        <rFont val="Arial"/>
        <family val="2"/>
      </rPr>
      <t xml:space="preserve"> 1100} + 3.5% =</t>
    </r>
  </si>
  <si>
    <r>
      <t xml:space="preserve">Market price per </t>
    </r>
    <r>
      <rPr>
        <sz val="15"/>
        <rFont val="Calibri"/>
        <family val="2"/>
      </rPr>
      <t>£</t>
    </r>
    <r>
      <rPr>
        <sz val="15"/>
        <rFont val="Arial"/>
        <family val="2"/>
      </rPr>
      <t>100 nominal (</t>
    </r>
    <r>
      <rPr>
        <sz val="15"/>
        <rFont val="Calibri"/>
        <family val="2"/>
      </rPr>
      <t>£</t>
    </r>
    <r>
      <rPr>
        <sz val="15"/>
        <rFont val="Arial"/>
        <family val="2"/>
      </rPr>
      <t>)</t>
    </r>
  </si>
  <si>
    <r>
      <t>Market value (V</t>
    </r>
    <r>
      <rPr>
        <b/>
        <vertAlign val="subscript"/>
        <sz val="15"/>
        <rFont val="Arial"/>
        <family val="2"/>
      </rPr>
      <t>D</t>
    </r>
    <r>
      <rPr>
        <b/>
        <sz val="15"/>
        <rFont val="Arial"/>
        <family val="2"/>
      </rPr>
      <t>)</t>
    </r>
  </si>
  <si>
    <r>
      <t>V</t>
    </r>
    <r>
      <rPr>
        <vertAlign val="subscript"/>
        <sz val="15"/>
        <rFont val="Arial"/>
        <family val="2"/>
      </rPr>
      <t>D</t>
    </r>
    <r>
      <rPr>
        <sz val="15"/>
        <rFont val="Arial"/>
        <family val="2"/>
      </rPr>
      <t xml:space="preserve"> = (issued amount x clean price) </t>
    </r>
    <r>
      <rPr>
        <sz val="15"/>
        <rFont val="Calibri"/>
        <family val="2"/>
      </rPr>
      <t>÷</t>
    </r>
    <r>
      <rPr>
        <sz val="15"/>
        <rFont val="Arial"/>
        <family val="2"/>
      </rPr>
      <t xml:space="preserve"> 100</t>
    </r>
  </si>
  <si>
    <r>
      <t>V</t>
    </r>
    <r>
      <rPr>
        <vertAlign val="subscript"/>
        <sz val="15"/>
        <rFont val="Arial"/>
        <family val="2"/>
      </rPr>
      <t>D</t>
    </r>
    <r>
      <rPr>
        <sz val="15"/>
        <rFont val="Arial"/>
        <family val="2"/>
      </rPr>
      <t xml:space="preserve"> (</t>
    </r>
    <r>
      <rPr>
        <sz val="15"/>
        <rFont val="Calibri"/>
        <family val="2"/>
      </rPr>
      <t>£</t>
    </r>
    <r>
      <rPr>
        <sz val="15"/>
        <rFont val="Arial"/>
        <family val="2"/>
      </rPr>
      <t xml:space="preserve"> million)  = (</t>
    </r>
    <r>
      <rPr>
        <sz val="15"/>
        <rFont val="Calibri"/>
        <family val="2"/>
      </rPr>
      <t>£</t>
    </r>
    <r>
      <rPr>
        <sz val="15"/>
        <rFont val="Arial"/>
        <family val="2"/>
      </rPr>
      <t xml:space="preserve">50m x </t>
    </r>
    <r>
      <rPr>
        <sz val="15"/>
        <rFont val="Calibri"/>
        <family val="2"/>
      </rPr>
      <t>£124</t>
    </r>
    <r>
      <rPr>
        <sz val="15"/>
        <rFont val="Arial"/>
        <family val="2"/>
      </rPr>
      <t xml:space="preserve">) </t>
    </r>
    <r>
      <rPr>
        <sz val="15"/>
        <rFont val="Calibri"/>
        <family val="2"/>
      </rPr>
      <t>÷</t>
    </r>
    <r>
      <rPr>
        <sz val="15"/>
        <rFont val="Arial"/>
        <family val="2"/>
      </rPr>
      <t xml:space="preserve"> </t>
    </r>
    <r>
      <rPr>
        <sz val="15"/>
        <rFont val="Calibri"/>
        <family val="2"/>
      </rPr>
      <t>£</t>
    </r>
    <r>
      <rPr>
        <sz val="15"/>
        <rFont val="Arial"/>
        <family val="2"/>
      </rPr>
      <t>100 =</t>
    </r>
  </si>
  <si>
    <r>
      <t>Cost of debt (K</t>
    </r>
    <r>
      <rPr>
        <b/>
        <vertAlign val="subscript"/>
        <sz val="15"/>
        <rFont val="Arial"/>
        <family val="2"/>
      </rPr>
      <t>D</t>
    </r>
    <r>
      <rPr>
        <b/>
        <sz val="15"/>
        <rFont val="Arial"/>
        <family val="2"/>
      </rPr>
      <t xml:space="preserve">) </t>
    </r>
  </si>
  <si>
    <t>use WACC as tax money discount rate</t>
  </si>
  <si>
    <t>NPV (£)</t>
  </si>
  <si>
    <t>+ (</t>
  </si>
  <si>
    <t>OR</t>
  </si>
  <si>
    <t xml:space="preserve">cum-interest </t>
  </si>
  <si>
    <t>M&amp;M's with-tax theory approximates to the trade-off theory so its formulae may be used</t>
  </si>
  <si>
    <t>The "optimal" level of financial gearing is above the company's current level:</t>
  </si>
  <si>
    <t>If it was ungeared</t>
  </si>
  <si>
    <t>If it increased gearing to</t>
  </si>
  <si>
    <r>
      <t xml:space="preserve">Market value: </t>
    </r>
    <r>
      <rPr>
        <b/>
        <sz val="12"/>
        <color theme="1"/>
        <rFont val="Calibri"/>
        <family val="2"/>
        <scheme val="minor"/>
      </rPr>
      <t>V</t>
    </r>
    <r>
      <rPr>
        <b/>
        <vertAlign val="subscript"/>
        <sz val="12"/>
        <color theme="1"/>
        <rFont val="Calibri"/>
        <family val="2"/>
        <scheme val="minor"/>
      </rPr>
      <t>g</t>
    </r>
    <r>
      <rPr>
        <vertAlign val="subscript"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=</t>
    </r>
    <r>
      <rPr>
        <vertAlign val="subscript"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V</t>
    </r>
    <r>
      <rPr>
        <vertAlign val="subscript"/>
        <sz val="12"/>
        <color theme="1"/>
        <rFont val="Calibri"/>
        <family val="2"/>
        <scheme val="minor"/>
      </rPr>
      <t>ug</t>
    </r>
    <r>
      <rPr>
        <sz val="12"/>
        <color theme="1"/>
        <rFont val="Calibri"/>
        <family val="2"/>
        <scheme val="minor"/>
      </rPr>
      <t xml:space="preserve"> + (V</t>
    </r>
    <r>
      <rPr>
        <vertAlign val="subscript"/>
        <sz val="12"/>
        <color theme="1"/>
        <rFont val="Calibri"/>
        <family val="2"/>
        <scheme val="minor"/>
      </rPr>
      <t>D</t>
    </r>
    <r>
      <rPr>
        <sz val="12"/>
        <color theme="1"/>
        <rFont val="Calibri"/>
        <family val="2"/>
        <scheme val="minor"/>
      </rPr>
      <t xml:space="preserve"> x T</t>
    </r>
    <r>
      <rPr>
        <vertAlign val="subscript"/>
        <sz val="12"/>
        <color theme="1"/>
        <rFont val="Calibri"/>
        <family val="2"/>
        <scheme val="minor"/>
      </rPr>
      <t>C</t>
    </r>
    <r>
      <rPr>
        <sz val="12"/>
        <color theme="1"/>
        <rFont val="Calibri"/>
        <family val="2"/>
        <scheme val="minor"/>
      </rPr>
      <t>)</t>
    </r>
  </si>
  <si>
    <r>
      <t>Financial gearing: G = V</t>
    </r>
    <r>
      <rPr>
        <vertAlign val="subscript"/>
        <sz val="12"/>
        <color theme="1"/>
        <rFont val="Calibri"/>
        <family val="2"/>
        <scheme val="minor"/>
      </rPr>
      <t>D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</rPr>
      <t>÷</t>
    </r>
    <r>
      <rPr>
        <sz val="12"/>
        <color theme="1"/>
        <rFont val="Calibri"/>
        <family val="2"/>
        <scheme val="minor"/>
      </rPr>
      <t xml:space="preserve"> V</t>
    </r>
    <r>
      <rPr>
        <vertAlign val="subscript"/>
        <sz val="12"/>
        <color theme="1"/>
        <rFont val="Calibri"/>
        <family val="2"/>
        <scheme val="minor"/>
      </rPr>
      <t>D+E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</si>
  <si>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WACC: </t>
    </r>
    <r>
      <rPr>
        <b/>
        <sz val="12"/>
        <color theme="1"/>
        <rFont val="Calibri"/>
        <family val="2"/>
        <scheme val="minor"/>
      </rPr>
      <t>K</t>
    </r>
    <r>
      <rPr>
        <b/>
        <vertAlign val="subscript"/>
        <sz val="12"/>
        <color theme="1"/>
        <rFont val="Calibri"/>
        <family val="2"/>
        <scheme val="minor"/>
      </rPr>
      <t>g</t>
    </r>
    <r>
      <rPr>
        <sz val="12"/>
        <color theme="1"/>
        <rFont val="Calibri"/>
        <family val="2"/>
        <scheme val="minor"/>
      </rPr>
      <t xml:space="preserve"> =</t>
    </r>
    <r>
      <rPr>
        <vertAlign val="subscript"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K</t>
    </r>
    <r>
      <rPr>
        <vertAlign val="subscript"/>
        <sz val="12"/>
        <color theme="1"/>
        <rFont val="Calibri"/>
        <family val="2"/>
        <scheme val="minor"/>
      </rPr>
      <t>ug</t>
    </r>
    <r>
      <rPr>
        <sz val="12"/>
        <color theme="1"/>
        <rFont val="Calibri"/>
        <family val="2"/>
        <scheme val="minor"/>
      </rPr>
      <t xml:space="preserve"> x (1 - (V</t>
    </r>
    <r>
      <rPr>
        <vertAlign val="subscript"/>
        <sz val="12"/>
        <color theme="1"/>
        <rFont val="Calibri"/>
        <family val="2"/>
        <scheme val="minor"/>
      </rPr>
      <t>D</t>
    </r>
    <r>
      <rPr>
        <sz val="12"/>
        <color theme="1"/>
        <rFont val="Calibri"/>
        <family val="2"/>
        <scheme val="minor"/>
      </rPr>
      <t xml:space="preserve"> x T</t>
    </r>
    <r>
      <rPr>
        <vertAlign val="subscript"/>
        <sz val="12"/>
        <color theme="1"/>
        <rFont val="Calibri"/>
        <family val="2"/>
        <scheme val="minor"/>
      </rPr>
      <t>C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</rPr>
      <t>÷</t>
    </r>
    <r>
      <rPr>
        <sz val="12"/>
        <color theme="1"/>
        <rFont val="Calibri"/>
        <family val="2"/>
        <scheme val="minor"/>
      </rPr>
      <t xml:space="preserve"> V</t>
    </r>
    <r>
      <rPr>
        <vertAlign val="subscript"/>
        <sz val="12"/>
        <color theme="1"/>
        <rFont val="Calibri"/>
        <family val="2"/>
        <scheme val="minor"/>
      </rPr>
      <t>g</t>
    </r>
    <r>
      <rPr>
        <sz val="12"/>
        <color theme="1"/>
        <rFont val="Calibri"/>
        <family val="2"/>
        <scheme val="minor"/>
      </rPr>
      <t>))</t>
    </r>
  </si>
  <si>
    <t>x (</t>
  </si>
  <si>
    <t>- (</t>
  </si>
  <si>
    <t>)) =</t>
  </si>
  <si>
    <r>
      <t>Total market value: V</t>
    </r>
    <r>
      <rPr>
        <vertAlign val="subscript"/>
        <sz val="12"/>
        <color theme="1"/>
        <rFont val="Calibri"/>
        <family val="2"/>
        <scheme val="minor"/>
      </rPr>
      <t>D+E</t>
    </r>
    <r>
      <rPr>
        <sz val="12"/>
        <color theme="1"/>
        <rFont val="Calibri"/>
        <family val="2"/>
        <scheme val="minor"/>
      </rPr>
      <t xml:space="preserve"> </t>
    </r>
  </si>
  <si>
    <r>
      <t>WACC = (G x K</t>
    </r>
    <r>
      <rPr>
        <vertAlign val="subscript"/>
        <sz val="12"/>
        <color theme="1"/>
        <rFont val="Calibri"/>
        <family val="2"/>
        <scheme val="minor"/>
      </rPr>
      <t>D</t>
    </r>
    <r>
      <rPr>
        <sz val="12"/>
        <color theme="1"/>
        <rFont val="Calibri"/>
        <family val="2"/>
        <scheme val="minor"/>
      </rPr>
      <t>) + ((1-G) x K</t>
    </r>
    <r>
      <rPr>
        <vertAlign val="subscript"/>
        <sz val="12"/>
        <color theme="1"/>
        <rFont val="Calibri"/>
        <family val="2"/>
        <scheme val="minor"/>
      </rPr>
      <t>E</t>
    </r>
    <r>
      <rPr>
        <sz val="12"/>
        <color theme="1"/>
        <rFont val="Calibri"/>
        <family val="2"/>
        <scheme val="minor"/>
      </rPr>
      <t>)</t>
    </r>
  </si>
  <si>
    <r>
      <t xml:space="preserve">Market value: </t>
    </r>
    <r>
      <rPr>
        <b/>
        <sz val="12"/>
        <color theme="1"/>
        <rFont val="Calibri"/>
        <family val="2"/>
        <scheme val="minor"/>
      </rPr>
      <t>V</t>
    </r>
    <r>
      <rPr>
        <b/>
        <vertAlign val="subscript"/>
        <sz val="12"/>
        <color theme="1"/>
        <rFont val="Calibri"/>
        <family val="2"/>
        <scheme val="minor"/>
      </rPr>
      <t>ug</t>
    </r>
    <r>
      <rPr>
        <sz val="12"/>
        <color theme="1"/>
        <rFont val="Calibri"/>
        <family val="2"/>
        <scheme val="minor"/>
      </rPr>
      <t xml:space="preserve"> =</t>
    </r>
    <r>
      <rPr>
        <vertAlign val="subscript"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V</t>
    </r>
    <r>
      <rPr>
        <vertAlign val="subscript"/>
        <sz val="12"/>
        <color theme="1"/>
        <rFont val="Calibri"/>
        <family val="2"/>
        <scheme val="minor"/>
      </rPr>
      <t>g</t>
    </r>
    <r>
      <rPr>
        <sz val="12"/>
        <color theme="1"/>
        <rFont val="Calibri"/>
        <family val="2"/>
        <scheme val="minor"/>
      </rPr>
      <t xml:space="preserve"> - (V</t>
    </r>
    <r>
      <rPr>
        <vertAlign val="subscript"/>
        <sz val="12"/>
        <color theme="1"/>
        <rFont val="Calibri"/>
        <family val="2"/>
        <scheme val="minor"/>
      </rPr>
      <t>D</t>
    </r>
    <r>
      <rPr>
        <sz val="12"/>
        <color theme="1"/>
        <rFont val="Calibri"/>
        <family val="2"/>
        <scheme val="minor"/>
      </rPr>
      <t xml:space="preserve"> x T</t>
    </r>
    <r>
      <rPr>
        <vertAlign val="subscript"/>
        <sz val="12"/>
        <color theme="1"/>
        <rFont val="Calibri"/>
        <family val="2"/>
        <scheme val="minor"/>
      </rPr>
      <t>C</t>
    </r>
    <r>
      <rPr>
        <sz val="12"/>
        <color theme="1"/>
        <rFont val="Calibri"/>
        <family val="2"/>
        <scheme val="minor"/>
      </rPr>
      <t>)</t>
    </r>
  </si>
  <si>
    <r>
      <t xml:space="preserve">WACC: </t>
    </r>
    <r>
      <rPr>
        <b/>
        <sz val="12"/>
        <color theme="1"/>
        <rFont val="Calibri"/>
        <family val="2"/>
        <scheme val="minor"/>
      </rPr>
      <t>K</t>
    </r>
    <r>
      <rPr>
        <b/>
        <vertAlign val="subscript"/>
        <sz val="12"/>
        <color theme="1"/>
        <rFont val="Calibri"/>
        <family val="2"/>
        <scheme val="minor"/>
      </rPr>
      <t>ug</t>
    </r>
    <r>
      <rPr>
        <sz val="12"/>
        <color theme="1"/>
        <rFont val="Calibri"/>
        <family val="2"/>
        <scheme val="minor"/>
      </rPr>
      <t xml:space="preserve"> =</t>
    </r>
    <r>
      <rPr>
        <vertAlign val="subscript"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K</t>
    </r>
    <r>
      <rPr>
        <vertAlign val="subscript"/>
        <sz val="12"/>
        <color theme="1"/>
        <rFont val="Calibri"/>
        <family val="2"/>
        <scheme val="minor"/>
      </rPr>
      <t>g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</rPr>
      <t>÷</t>
    </r>
    <r>
      <rPr>
        <sz val="12"/>
        <color theme="1"/>
        <rFont val="Calibri"/>
        <family val="2"/>
        <scheme val="minor"/>
      </rPr>
      <t xml:space="preserve"> (1 - (V</t>
    </r>
    <r>
      <rPr>
        <vertAlign val="subscript"/>
        <sz val="12"/>
        <color theme="1"/>
        <rFont val="Calibri"/>
        <family val="2"/>
        <scheme val="minor"/>
      </rPr>
      <t>D</t>
    </r>
    <r>
      <rPr>
        <sz val="12"/>
        <color theme="1"/>
        <rFont val="Calibri"/>
        <family val="2"/>
        <scheme val="minor"/>
      </rPr>
      <t xml:space="preserve"> x T</t>
    </r>
    <r>
      <rPr>
        <vertAlign val="subscript"/>
        <sz val="12"/>
        <color theme="1"/>
        <rFont val="Calibri"/>
        <family val="2"/>
        <scheme val="minor"/>
      </rPr>
      <t>C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</rPr>
      <t>÷</t>
    </r>
    <r>
      <rPr>
        <sz val="12"/>
        <color theme="1"/>
        <rFont val="Calibri"/>
        <family val="2"/>
        <scheme val="minor"/>
      </rPr>
      <t xml:space="preserve"> V</t>
    </r>
    <r>
      <rPr>
        <vertAlign val="subscript"/>
        <sz val="12"/>
        <color theme="1"/>
        <rFont val="Calibri"/>
        <family val="2"/>
        <scheme val="minor"/>
      </rPr>
      <t>g</t>
    </r>
    <r>
      <rPr>
        <sz val="12"/>
        <color theme="1"/>
        <rFont val="Calibri"/>
        <family val="2"/>
        <scheme val="minor"/>
      </rPr>
      <t>))</t>
    </r>
  </si>
  <si>
    <r>
      <rPr>
        <sz val="12"/>
        <color theme="1"/>
        <rFont val="Calibri"/>
        <family val="2"/>
      </rPr>
      <t>÷</t>
    </r>
    <r>
      <rPr>
        <sz val="12"/>
        <color theme="1"/>
        <rFont val="Calibri"/>
        <family val="2"/>
        <scheme val="minor"/>
      </rPr>
      <t xml:space="preserve"> (</t>
    </r>
  </si>
  <si>
    <t>This step must be taken before estimating market value and WACC at a different level of financial gearing</t>
  </si>
  <si>
    <t>an increase of</t>
  </si>
  <si>
    <t xml:space="preserve">a decrease of </t>
  </si>
  <si>
    <t>In accordance with Agency Theory, the true optimal level of financial gearing may be above the average level of competitors</t>
  </si>
  <si>
    <t>below average financial gearing of competitor 25%</t>
  </si>
  <si>
    <t>Although the project's DPP (6.94 years) is longer than the 4 years hurdle period but IRR (13.8%) is higher than the cost of capital (7.31%) and it has a positive NPV (+986.344), therefore the directors should accept the project and it is thus forecast to increase shareholder wealth.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</si>
</sst>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3" formatCode="_(* #,##0.00_);_(* \(#,##0.00\);_(* &quot;-&quot;??_);_(@_)"/>
    <numFmt numFmtId="164" formatCode="0.0%"/>
    <numFmt numFmtId="165" formatCode="&quot;£&quot;#,##0"/>
    <numFmt numFmtId="166" formatCode="0.0"/>
    <numFmt numFmtId="167" formatCode="0.000"/>
    <numFmt numFmtId="168" formatCode="#,##0;\(#,##0\);\-"/>
    <numFmt numFmtId="169" formatCode="#,##0.0"/>
    <numFmt numFmtId="170" formatCode="dd\.mm\.yyyy;@"/>
    <numFmt numFmtId="171" formatCode="\+0%;\-0%;0%"/>
    <numFmt numFmtId="172" formatCode="0.0000"/>
    <numFmt numFmtId="173" formatCode="#,##0;\(#,##0\)"/>
    <numFmt numFmtId="174" formatCode="\+#,##0;\-#,##0;\-"/>
    <numFmt numFmtId="175" formatCode="#,##0.0000_ ;\-#,##0.0000\ "/>
    <numFmt numFmtId="176" formatCode="#,##0.000_ ;\-#,##0.000\ "/>
    <numFmt numFmtId="177" formatCode="0.00_ ;\-0.00\ "/>
    <numFmt numFmtId="178" formatCode="_(* #,##0_);_(* \(#,##0\);_(* &quot;-&quot;??_);_(@_)"/>
    <numFmt numFmtId="179" formatCode="#,##0.0;\(#,##0.0\);\-"/>
    <numFmt numFmtId="180" formatCode="_(* #,##0.0_);_(* \(#,##0.0\);_(* &quot;-&quot;??_);_(@_)"/>
    <numFmt numFmtId="181" formatCode="\+#,##0.000;\-#,##0.000;\-"/>
  </numFmts>
  <fonts count="6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i/>
      <sz val="18"/>
      <name val="Arial"/>
      <family val="2"/>
    </font>
    <font>
      <b/>
      <sz val="18"/>
      <name val="Calibri"/>
      <family val="2"/>
    </font>
    <font>
      <b/>
      <sz val="16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vertAlign val="superscript"/>
      <sz val="14"/>
      <name val="Arial"/>
      <family val="2"/>
    </font>
    <font>
      <b/>
      <sz val="20"/>
      <name val="Arial"/>
      <family val="2"/>
    </font>
    <font>
      <b/>
      <i/>
      <sz val="18"/>
      <name val="Arial"/>
      <family val="2"/>
    </font>
    <font>
      <b/>
      <sz val="14"/>
      <color rgb="FF0070C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12"/>
      <color theme="1"/>
      <name val="Times New Roman"/>
      <family val="1"/>
    </font>
    <font>
      <sz val="13"/>
      <color theme="1"/>
      <name val="Times New Roman"/>
      <family val="1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1"/>
      <color theme="0"/>
      <name val="Calibri"/>
      <family val="2"/>
      <scheme val="minor"/>
    </font>
    <font>
      <b/>
      <u/>
      <sz val="14"/>
      <name val="Arial"/>
      <family val="2"/>
    </font>
    <font>
      <b/>
      <vertAlign val="subscript"/>
      <sz val="14"/>
      <name val="Arial"/>
      <family val="2"/>
    </font>
    <font>
      <vertAlign val="subscript"/>
      <sz val="14"/>
      <name val="Arial"/>
      <family val="2"/>
    </font>
    <font>
      <sz val="14"/>
      <name val="Calibri"/>
      <family val="2"/>
    </font>
    <font>
      <b/>
      <sz val="15"/>
      <name val="Arial"/>
      <family val="2"/>
    </font>
    <font>
      <sz val="15"/>
      <name val="Arial"/>
      <family val="2"/>
    </font>
    <font>
      <b/>
      <u/>
      <sz val="15"/>
      <name val="Arial"/>
      <family val="2"/>
    </font>
    <font>
      <sz val="15"/>
      <name val="Calibri"/>
      <family val="2"/>
    </font>
    <font>
      <b/>
      <vertAlign val="subscript"/>
      <sz val="15"/>
      <name val="Arial"/>
      <family val="2"/>
    </font>
    <font>
      <vertAlign val="subscript"/>
      <sz val="15"/>
      <name val="Arial"/>
      <family val="2"/>
    </font>
    <font>
      <b/>
      <i/>
      <sz val="15"/>
      <name val="Arial"/>
      <family val="2"/>
    </font>
    <font>
      <i/>
      <sz val="15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i/>
      <sz val="11"/>
      <color theme="1"/>
      <name val="Times New Roman"/>
      <family val="1"/>
    </font>
    <font>
      <b/>
      <vertAlign val="subscript"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2">
    <xf numFmtId="0" fontId="0" fillId="0" borderId="0"/>
    <xf numFmtId="9" fontId="3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305">
    <xf numFmtId="0" fontId="0" fillId="0" borderId="0" xfId="0"/>
    <xf numFmtId="0" fontId="5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164" fontId="4" fillId="2" borderId="0" xfId="1" applyNumberFormat="1" applyFont="1" applyFill="1" applyAlignment="1">
      <alignment horizontal="center"/>
    </xf>
    <xf numFmtId="0" fontId="7" fillId="2" borderId="0" xfId="0" applyFont="1" applyFill="1"/>
    <xf numFmtId="0" fontId="4" fillId="2" borderId="0" xfId="0" applyFont="1" applyFill="1" applyBorder="1"/>
    <xf numFmtId="0" fontId="5" fillId="2" borderId="0" xfId="0" applyFont="1" applyFill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/>
    </xf>
    <xf numFmtId="164" fontId="7" fillId="2" borderId="0" xfId="1" applyNumberFormat="1" applyFont="1" applyFill="1" applyAlignment="1">
      <alignment horizontal="center"/>
    </xf>
    <xf numFmtId="164" fontId="4" fillId="2" borderId="0" xfId="0" applyNumberFormat="1" applyFont="1" applyFill="1"/>
    <xf numFmtId="0" fontId="5" fillId="2" borderId="1" xfId="0" applyFont="1" applyFill="1" applyBorder="1"/>
    <xf numFmtId="0" fontId="5" fillId="2" borderId="1" xfId="0" applyFont="1" applyFill="1" applyBorder="1" applyAlignment="1">
      <alignment horizontal="center" wrapText="1"/>
    </xf>
    <xf numFmtId="0" fontId="4" fillId="2" borderId="1" xfId="0" applyFont="1" applyFill="1" applyBorder="1"/>
    <xf numFmtId="0" fontId="7" fillId="2" borderId="1" xfId="0" applyFont="1" applyFill="1" applyBorder="1" applyAlignment="1">
      <alignment horizontal="center" wrapText="1"/>
    </xf>
    <xf numFmtId="0" fontId="11" fillId="2" borderId="0" xfId="0" applyFont="1" applyFill="1"/>
    <xf numFmtId="0" fontId="11" fillId="2" borderId="0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vertical="center"/>
    </xf>
    <xf numFmtId="0" fontId="10" fillId="2" borderId="3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13" fillId="2" borderId="0" xfId="0" applyFont="1" applyFill="1" applyAlignment="1">
      <alignment horizontal="left" vertical="center"/>
    </xf>
    <xf numFmtId="166" fontId="4" fillId="2" borderId="0" xfId="0" applyNumberFormat="1" applyFont="1" applyFill="1" applyAlignment="1">
      <alignment horizontal="center"/>
    </xf>
    <xf numFmtId="0" fontId="10" fillId="3" borderId="3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9" fontId="11" fillId="2" borderId="0" xfId="1" applyFont="1" applyFill="1" applyBorder="1" applyAlignment="1">
      <alignment horizontal="center" vertical="center"/>
    </xf>
    <xf numFmtId="0" fontId="11" fillId="4" borderId="0" xfId="0" applyFont="1" applyFill="1" applyBorder="1"/>
    <xf numFmtId="0" fontId="10" fillId="4" borderId="0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164" fontId="10" fillId="2" borderId="3" xfId="1" quotePrefix="1" applyNumberFormat="1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 wrapText="1"/>
    </xf>
    <xf numFmtId="1" fontId="4" fillId="2" borderId="0" xfId="0" applyNumberFormat="1" applyFont="1" applyFill="1" applyAlignment="1">
      <alignment horizontal="center"/>
    </xf>
    <xf numFmtId="1" fontId="13" fillId="2" borderId="4" xfId="0" applyNumberFormat="1" applyFont="1" applyFill="1" applyBorder="1" applyAlignment="1">
      <alignment horizontal="center" vertical="center"/>
    </xf>
    <xf numFmtId="0" fontId="5" fillId="3" borderId="0" xfId="0" applyFont="1" applyFill="1"/>
    <xf numFmtId="0" fontId="14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 wrapText="1"/>
    </xf>
    <xf numFmtId="10" fontId="4" fillId="2" borderId="0" xfId="1" applyNumberFormat="1" applyFont="1" applyFill="1" applyAlignment="1">
      <alignment horizontal="center"/>
    </xf>
    <xf numFmtId="164" fontId="13" fillId="3" borderId="0" xfId="0" applyNumberFormat="1" applyFont="1" applyFill="1" applyBorder="1" applyAlignment="1">
      <alignment horizontal="center" vertical="center"/>
    </xf>
    <xf numFmtId="164" fontId="4" fillId="3" borderId="0" xfId="0" applyNumberFormat="1" applyFont="1" applyFill="1" applyAlignment="1">
      <alignment vertical="center"/>
    </xf>
    <xf numFmtId="164" fontId="13" fillId="3" borderId="2" xfId="0" applyNumberFormat="1" applyFont="1" applyFill="1" applyBorder="1" applyAlignment="1">
      <alignment horizontal="center" vertical="center"/>
    </xf>
    <xf numFmtId="0" fontId="19" fillId="4" borderId="0" xfId="4" applyFont="1" applyFill="1" applyAlignment="1">
      <alignment vertical="center"/>
    </xf>
    <xf numFmtId="0" fontId="20" fillId="4" borderId="0" xfId="4" applyFont="1" applyFill="1" applyAlignment="1">
      <alignment vertical="center"/>
    </xf>
    <xf numFmtId="0" fontId="20" fillId="4" borderId="0" xfId="4" applyFont="1" applyFill="1" applyAlignment="1">
      <alignment horizontal="center" vertical="center"/>
    </xf>
    <xf numFmtId="2" fontId="19" fillId="0" borderId="0" xfId="4" applyNumberFormat="1" applyFont="1" applyAlignment="1">
      <alignment horizontal="center" vertical="center"/>
    </xf>
    <xf numFmtId="0" fontId="20" fillId="4" borderId="7" xfId="4" applyFont="1" applyFill="1" applyBorder="1" applyAlignment="1">
      <alignment horizontal="center" vertical="center"/>
    </xf>
    <xf numFmtId="0" fontId="19" fillId="4" borderId="7" xfId="4" applyFont="1" applyFill="1" applyBorder="1" applyAlignment="1">
      <alignment horizontal="center" vertical="center"/>
    </xf>
    <xf numFmtId="0" fontId="20" fillId="4" borderId="10" xfId="4" applyFont="1" applyFill="1" applyBorder="1" applyAlignment="1">
      <alignment horizontal="center" vertical="center"/>
    </xf>
    <xf numFmtId="0" fontId="19" fillId="4" borderId="10" xfId="4" applyFont="1" applyFill="1" applyBorder="1" applyAlignment="1">
      <alignment horizontal="center" vertical="center"/>
    </xf>
    <xf numFmtId="0" fontId="20" fillId="4" borderId="11" xfId="4" applyFont="1" applyFill="1" applyBorder="1" applyAlignment="1">
      <alignment vertical="center"/>
    </xf>
    <xf numFmtId="0" fontId="20" fillId="4" borderId="12" xfId="4" applyFont="1" applyFill="1" applyBorder="1" applyAlignment="1">
      <alignment vertical="center"/>
    </xf>
    <xf numFmtId="166" fontId="20" fillId="4" borderId="12" xfId="4" applyNumberFormat="1" applyFont="1" applyFill="1" applyBorder="1" applyAlignment="1">
      <alignment vertical="center"/>
    </xf>
    <xf numFmtId="0" fontId="22" fillId="0" borderId="3" xfId="4" applyFont="1" applyBorder="1" applyAlignment="1">
      <alignment vertical="center" wrapText="1"/>
    </xf>
    <xf numFmtId="166" fontId="22" fillId="0" borderId="3" xfId="4" applyNumberFormat="1" applyFont="1" applyBorder="1" applyAlignment="1">
      <alignment vertical="center" wrapText="1"/>
    </xf>
    <xf numFmtId="0" fontId="23" fillId="0" borderId="3" xfId="4" applyFont="1" applyBorder="1" applyAlignment="1">
      <alignment vertical="center" wrapText="1"/>
    </xf>
    <xf numFmtId="0" fontId="24" fillId="4" borderId="0" xfId="4" applyFont="1" applyFill="1" applyAlignment="1">
      <alignment vertical="center"/>
    </xf>
    <xf numFmtId="166" fontId="20" fillId="4" borderId="0" xfId="4" applyNumberFormat="1" applyFont="1" applyFill="1" applyAlignment="1">
      <alignment vertical="center"/>
    </xf>
    <xf numFmtId="2" fontId="20" fillId="4" borderId="0" xfId="4" applyNumberFormat="1" applyFont="1" applyFill="1" applyAlignment="1">
      <alignment horizontal="center" vertical="center"/>
    </xf>
    <xf numFmtId="0" fontId="21" fillId="4" borderId="0" xfId="4" applyFont="1" applyFill="1" applyAlignment="1">
      <alignment horizontal="center" vertical="center"/>
    </xf>
    <xf numFmtId="166" fontId="19" fillId="4" borderId="0" xfId="4" applyNumberFormat="1" applyFont="1" applyFill="1" applyAlignment="1">
      <alignment horizontal="center" vertical="center"/>
    </xf>
    <xf numFmtId="0" fontId="20" fillId="4" borderId="0" xfId="4" applyFont="1" applyFill="1" applyAlignment="1">
      <alignment horizontal="left" vertical="center"/>
    </xf>
    <xf numFmtId="0" fontId="20" fillId="4" borderId="0" xfId="4" applyFont="1" applyFill="1" applyAlignment="1">
      <alignment horizontal="center" vertical="center"/>
    </xf>
    <xf numFmtId="9" fontId="20" fillId="4" borderId="0" xfId="5" applyFont="1" applyFill="1" applyAlignment="1">
      <alignment horizontal="center" vertical="center"/>
    </xf>
    <xf numFmtId="0" fontId="19" fillId="4" borderId="0" xfId="4" applyFont="1" applyFill="1" applyAlignment="1">
      <alignment horizontal="center" vertical="center"/>
    </xf>
    <xf numFmtId="9" fontId="20" fillId="4" borderId="0" xfId="4" applyNumberFormat="1" applyFont="1" applyFill="1" applyAlignment="1">
      <alignment vertical="center"/>
    </xf>
    <xf numFmtId="171" fontId="20" fillId="4" borderId="0" xfId="5" applyNumberFormat="1" applyFont="1" applyFill="1" applyAlignment="1">
      <alignment horizontal="center" vertical="center"/>
    </xf>
    <xf numFmtId="0" fontId="19" fillId="0" borderId="0" xfId="4" applyFont="1" applyAlignment="1">
      <alignment horizontal="center" vertical="center"/>
    </xf>
    <xf numFmtId="2" fontId="20" fillId="4" borderId="0" xfId="4" applyNumberFormat="1" applyFont="1" applyFill="1" applyAlignment="1">
      <alignment vertical="center"/>
    </xf>
    <xf numFmtId="164" fontId="19" fillId="4" borderId="0" xfId="5" applyNumberFormat="1" applyFont="1" applyFill="1" applyAlignment="1">
      <alignment horizontal="center" vertical="center"/>
    </xf>
    <xf numFmtId="167" fontId="20" fillId="4" borderId="0" xfId="4" applyNumberFormat="1" applyFont="1" applyFill="1" applyAlignment="1">
      <alignment vertical="center"/>
    </xf>
    <xf numFmtId="164" fontId="20" fillId="4" borderId="0" xfId="5" applyNumberFormat="1" applyFont="1" applyFill="1" applyAlignment="1">
      <alignment horizontal="center" vertical="center"/>
    </xf>
    <xf numFmtId="0" fontId="20" fillId="0" borderId="0" xfId="4" applyFont="1" applyAlignment="1">
      <alignment vertical="center"/>
    </xf>
    <xf numFmtId="0" fontId="19" fillId="0" borderId="0" xfId="4" applyFont="1" applyAlignment="1">
      <alignment horizontal="center" vertical="center" wrapText="1"/>
    </xf>
    <xf numFmtId="0" fontId="26" fillId="4" borderId="0" xfId="4" applyFont="1" applyFill="1"/>
    <xf numFmtId="0" fontId="2" fillId="4" borderId="0" xfId="4" applyFill="1" applyAlignment="1">
      <alignment horizontal="center"/>
    </xf>
    <xf numFmtId="0" fontId="2" fillId="4" borderId="0" xfId="4" applyFill="1"/>
    <xf numFmtId="0" fontId="26" fillId="3" borderId="0" xfId="4" applyFont="1" applyFill="1"/>
    <xf numFmtId="0" fontId="19" fillId="4" borderId="0" xfId="4" applyFont="1" applyFill="1"/>
    <xf numFmtId="0" fontId="24" fillId="4" borderId="0" xfId="4" applyFont="1" applyFill="1"/>
    <xf numFmtId="0" fontId="20" fillId="4" borderId="0" xfId="4" applyFont="1" applyFill="1" applyAlignment="1">
      <alignment horizontal="center"/>
    </xf>
    <xf numFmtId="172" fontId="0" fillId="4" borderId="0" xfId="5" applyNumberFormat="1" applyFont="1" applyFill="1" applyAlignment="1">
      <alignment horizontal="center"/>
    </xf>
    <xf numFmtId="0" fontId="17" fillId="4" borderId="0" xfId="4" applyFont="1" applyFill="1"/>
    <xf numFmtId="173" fontId="2" fillId="4" borderId="0" xfId="4" applyNumberFormat="1" applyFill="1" applyAlignment="1">
      <alignment horizontal="center"/>
    </xf>
    <xf numFmtId="0" fontId="2" fillId="0" borderId="0" xfId="4"/>
    <xf numFmtId="0" fontId="2" fillId="0" borderId="0" xfId="4" applyAlignment="1">
      <alignment horizontal="center"/>
    </xf>
    <xf numFmtId="9" fontId="0" fillId="0" borderId="0" xfId="5" applyFont="1" applyFill="1" applyAlignment="1">
      <alignment horizontal="center"/>
    </xf>
    <xf numFmtId="0" fontId="2" fillId="0" borderId="0" xfId="4" applyAlignment="1">
      <alignment horizontal="center" vertical="center"/>
    </xf>
    <xf numFmtId="0" fontId="2" fillId="4" borderId="0" xfId="4" applyFill="1" applyAlignment="1">
      <alignment horizontal="center" vertical="center"/>
    </xf>
    <xf numFmtId="9" fontId="0" fillId="4" borderId="0" xfId="5" applyFont="1" applyFill="1" applyAlignment="1">
      <alignment horizontal="center"/>
    </xf>
    <xf numFmtId="0" fontId="2" fillId="4" borderId="0" xfId="4" applyFill="1" applyAlignment="1">
      <alignment horizontal="left"/>
    </xf>
    <xf numFmtId="164" fontId="0" fillId="4" borderId="0" xfId="5" applyNumberFormat="1" applyFont="1" applyFill="1" applyAlignment="1">
      <alignment horizontal="center"/>
    </xf>
    <xf numFmtId="164" fontId="0" fillId="3" borderId="0" xfId="5" applyNumberFormat="1" applyFont="1" applyFill="1" applyAlignment="1">
      <alignment horizontal="center"/>
    </xf>
    <xf numFmtId="0" fontId="24" fillId="4" borderId="0" xfId="4" applyFont="1" applyFill="1" applyAlignment="1">
      <alignment horizontal="left"/>
    </xf>
    <xf numFmtId="173" fontId="2" fillId="4" borderId="1" xfId="4" applyNumberFormat="1" applyFill="1" applyBorder="1" applyAlignment="1">
      <alignment horizontal="center"/>
    </xf>
    <xf numFmtId="173" fontId="18" fillId="4" borderId="4" xfId="4" applyNumberFormat="1" applyFont="1" applyFill="1" applyBorder="1" applyAlignment="1">
      <alignment horizontal="center"/>
    </xf>
    <xf numFmtId="0" fontId="18" fillId="4" borderId="0" xfId="4" applyFont="1" applyFill="1" applyAlignment="1">
      <alignment horizontal="left"/>
    </xf>
    <xf numFmtId="173" fontId="18" fillId="4" borderId="13" xfId="4" applyNumberFormat="1" applyFont="1" applyFill="1" applyBorder="1" applyAlignment="1">
      <alignment horizontal="center"/>
    </xf>
    <xf numFmtId="0" fontId="24" fillId="0" borderId="0" xfId="4" applyFont="1" applyAlignment="1">
      <alignment horizontal="left"/>
    </xf>
    <xf numFmtId="0" fontId="18" fillId="4" borderId="0" xfId="4" applyFont="1" applyFill="1" applyAlignment="1">
      <alignment horizontal="center" vertical="center"/>
    </xf>
    <xf numFmtId="173" fontId="2" fillId="4" borderId="0" xfId="4" applyNumberFormat="1" applyFill="1" applyAlignment="1">
      <alignment horizontal="center" vertical="center"/>
    </xf>
    <xf numFmtId="9" fontId="17" fillId="4" borderId="0" xfId="4" applyNumberFormat="1" applyFont="1" applyFill="1" applyAlignment="1">
      <alignment horizontal="center" vertical="center"/>
    </xf>
    <xf numFmtId="173" fontId="2" fillId="4" borderId="1" xfId="4" applyNumberFormat="1" applyFill="1" applyBorder="1" applyAlignment="1">
      <alignment horizontal="center" vertical="center"/>
    </xf>
    <xf numFmtId="173" fontId="2" fillId="0" borderId="0" xfId="4" applyNumberFormat="1" applyAlignment="1">
      <alignment horizontal="center" vertical="center"/>
    </xf>
    <xf numFmtId="173" fontId="17" fillId="4" borderId="0" xfId="4" applyNumberFormat="1" applyFont="1" applyFill="1" applyAlignment="1">
      <alignment horizontal="left" vertical="center"/>
    </xf>
    <xf numFmtId="173" fontId="18" fillId="4" borderId="4" xfId="4" applyNumberFormat="1" applyFont="1" applyFill="1" applyBorder="1" applyAlignment="1">
      <alignment horizontal="center" vertical="center"/>
    </xf>
    <xf numFmtId="0" fontId="24" fillId="3" borderId="0" xfId="4" applyFont="1" applyFill="1" applyAlignment="1">
      <alignment horizontal="left"/>
    </xf>
    <xf numFmtId="0" fontId="27" fillId="4" borderId="0" xfId="4" applyFont="1" applyFill="1" applyAlignment="1">
      <alignment horizontal="center" vertical="center"/>
    </xf>
    <xf numFmtId="174" fontId="2" fillId="4" borderId="0" xfId="4" applyNumberFormat="1" applyFill="1" applyAlignment="1">
      <alignment horizontal="center" vertical="center"/>
    </xf>
    <xf numFmtId="0" fontId="17" fillId="4" borderId="0" xfId="4" applyFont="1" applyFill="1" applyAlignment="1">
      <alignment horizontal="left"/>
    </xf>
    <xf numFmtId="10" fontId="17" fillId="4" borderId="0" xfId="4" applyNumberFormat="1" applyFont="1" applyFill="1" applyAlignment="1">
      <alignment horizontal="center" vertical="center"/>
    </xf>
    <xf numFmtId="10" fontId="2" fillId="4" borderId="0" xfId="4" applyNumberFormat="1" applyFill="1" applyAlignment="1">
      <alignment horizontal="center" vertical="center"/>
    </xf>
    <xf numFmtId="174" fontId="18" fillId="4" borderId="13" xfId="4" applyNumberFormat="1" applyFont="1" applyFill="1" applyBorder="1" applyAlignment="1">
      <alignment horizontal="center" vertical="center"/>
    </xf>
    <xf numFmtId="9" fontId="17" fillId="4" borderId="0" xfId="5" applyFont="1" applyFill="1" applyAlignment="1">
      <alignment horizontal="center" vertical="center"/>
    </xf>
    <xf numFmtId="9" fontId="2" fillId="4" borderId="0" xfId="4" applyNumberFormat="1" applyFill="1" applyAlignment="1">
      <alignment horizontal="center" vertical="center"/>
    </xf>
    <xf numFmtId="174" fontId="2" fillId="4" borderId="13" xfId="4" applyNumberFormat="1" applyFill="1" applyBorder="1" applyAlignment="1">
      <alignment horizontal="center" vertical="center"/>
    </xf>
    <xf numFmtId="0" fontId="2" fillId="4" borderId="13" xfId="4" applyFill="1" applyBorder="1"/>
    <xf numFmtId="9" fontId="17" fillId="0" borderId="0" xfId="4" applyNumberFormat="1" applyFont="1" applyAlignment="1">
      <alignment horizontal="center" vertical="center"/>
    </xf>
    <xf numFmtId="174" fontId="18" fillId="4" borderId="4" xfId="4" applyNumberFormat="1" applyFont="1" applyFill="1" applyBorder="1" applyAlignment="1">
      <alignment horizontal="center" vertical="center"/>
    </xf>
    <xf numFmtId="175" fontId="2" fillId="4" borderId="0" xfId="4" applyNumberFormat="1" applyFill="1" applyAlignment="1">
      <alignment horizontal="center" vertical="center"/>
    </xf>
    <xf numFmtId="172" fontId="18" fillId="4" borderId="0" xfId="4" applyNumberFormat="1" applyFont="1" applyFill="1" applyAlignment="1">
      <alignment horizontal="center" vertical="center"/>
    </xf>
    <xf numFmtId="174" fontId="18" fillId="4" borderId="0" xfId="4" applyNumberFormat="1" applyFont="1" applyFill="1" applyAlignment="1">
      <alignment horizontal="center" vertical="center"/>
    </xf>
    <xf numFmtId="164" fontId="17" fillId="4" borderId="0" xfId="4" applyNumberFormat="1" applyFont="1" applyFill="1" applyAlignment="1">
      <alignment horizontal="center" vertical="center"/>
    </xf>
    <xf numFmtId="176" fontId="2" fillId="4" borderId="0" xfId="4" applyNumberFormat="1" applyFill="1" applyAlignment="1">
      <alignment horizontal="center" vertical="center"/>
    </xf>
    <xf numFmtId="0" fontId="19" fillId="3" borderId="0" xfId="4" applyFont="1" applyFill="1" applyAlignment="1">
      <alignment horizontal="left"/>
    </xf>
    <xf numFmtId="0" fontId="18" fillId="3" borderId="0" xfId="4" applyFont="1" applyFill="1" applyAlignment="1">
      <alignment horizontal="center" vertical="center"/>
    </xf>
    <xf numFmtId="174" fontId="24" fillId="3" borderId="0" xfId="4" applyNumberFormat="1" applyFont="1" applyFill="1" applyAlignment="1">
      <alignment horizontal="center" vertical="center"/>
    </xf>
    <xf numFmtId="174" fontId="28" fillId="4" borderId="0" xfId="4" applyNumberFormat="1" applyFont="1" applyFill="1" applyAlignment="1">
      <alignment horizontal="left" vertical="center"/>
    </xf>
    <xf numFmtId="0" fontId="2" fillId="3" borderId="0" xfId="4" applyFill="1" applyAlignment="1">
      <alignment horizontal="center"/>
    </xf>
    <xf numFmtId="164" fontId="24" fillId="3" borderId="0" xfId="4" applyNumberFormat="1" applyFont="1" applyFill="1" applyAlignment="1">
      <alignment horizontal="center"/>
    </xf>
    <xf numFmtId="0" fontId="29" fillId="4" borderId="0" xfId="4" applyFont="1" applyFill="1"/>
    <xf numFmtId="164" fontId="30" fillId="4" borderId="0" xfId="4" applyNumberFormat="1" applyFont="1" applyFill="1" applyAlignment="1">
      <alignment horizontal="center"/>
    </xf>
    <xf numFmtId="0" fontId="30" fillId="4" borderId="0" xfId="4" applyFont="1" applyFill="1"/>
    <xf numFmtId="164" fontId="30" fillId="4" borderId="0" xfId="4" applyNumberFormat="1" applyFont="1" applyFill="1"/>
    <xf numFmtId="164" fontId="24" fillId="4" borderId="0" xfId="4" applyNumberFormat="1" applyFont="1" applyFill="1" applyAlignment="1">
      <alignment horizontal="center"/>
    </xf>
    <xf numFmtId="0" fontId="18" fillId="4" borderId="0" xfId="4" applyFont="1" applyFill="1" applyAlignment="1">
      <alignment horizontal="center"/>
    </xf>
    <xf numFmtId="164" fontId="17" fillId="4" borderId="0" xfId="4" applyNumberFormat="1" applyFont="1" applyFill="1" applyAlignment="1">
      <alignment horizontal="center"/>
    </xf>
    <xf numFmtId="174" fontId="2" fillId="4" borderId="0" xfId="4" applyNumberFormat="1" applyFill="1" applyAlignment="1">
      <alignment horizontal="center"/>
    </xf>
    <xf numFmtId="174" fontId="18" fillId="4" borderId="13" xfId="4" applyNumberFormat="1" applyFont="1" applyFill="1" applyBorder="1" applyAlignment="1">
      <alignment horizontal="center"/>
    </xf>
    <xf numFmtId="177" fontId="24" fillId="3" borderId="0" xfId="4" applyNumberFormat="1" applyFont="1" applyFill="1" applyAlignment="1">
      <alignment horizontal="center"/>
    </xf>
    <xf numFmtId="174" fontId="28" fillId="4" borderId="0" xfId="4" applyNumberFormat="1" applyFont="1" applyFill="1" applyAlignment="1">
      <alignment horizontal="left"/>
    </xf>
    <xf numFmtId="0" fontId="19" fillId="4" borderId="0" xfId="4" applyFont="1" applyFill="1" applyAlignment="1">
      <alignment horizontal="left"/>
    </xf>
    <xf numFmtId="177" fontId="24" fillId="4" borderId="0" xfId="4" applyNumberFormat="1" applyFont="1" applyFill="1" applyAlignment="1">
      <alignment horizontal="center"/>
    </xf>
    <xf numFmtId="0" fontId="31" fillId="4" borderId="0" xfId="4" applyFont="1" applyFill="1" applyAlignment="1">
      <alignment horizontal="left"/>
    </xf>
    <xf numFmtId="0" fontId="28" fillId="4" borderId="0" xfId="4" applyFont="1" applyFill="1" applyAlignment="1">
      <alignment horizontal="left"/>
    </xf>
    <xf numFmtId="0" fontId="17" fillId="4" borderId="0" xfId="4" applyFont="1" applyFill="1" applyAlignment="1">
      <alignment horizontal="center"/>
    </xf>
    <xf numFmtId="177" fontId="31" fillId="4" borderId="0" xfId="4" applyNumberFormat="1" applyFont="1" applyFill="1" applyAlignment="1">
      <alignment horizontal="center"/>
    </xf>
    <xf numFmtId="174" fontId="28" fillId="4" borderId="0" xfId="4" applyNumberFormat="1" applyFont="1" applyFill="1" applyAlignment="1">
      <alignment horizontal="center"/>
    </xf>
    <xf numFmtId="174" fontId="17" fillId="4" borderId="0" xfId="4" applyNumberFormat="1" applyFont="1" applyFill="1" applyAlignment="1">
      <alignment horizontal="center"/>
    </xf>
    <xf numFmtId="164" fontId="10" fillId="2" borderId="3" xfId="1" applyNumberFormat="1" applyFont="1" applyFill="1" applyBorder="1" applyAlignment="1">
      <alignment horizontal="center" vertical="center"/>
    </xf>
    <xf numFmtId="0" fontId="33" fillId="4" borderId="0" xfId="4" applyFont="1" applyFill="1" applyAlignment="1">
      <alignment horizontal="left"/>
    </xf>
    <xf numFmtId="0" fontId="19" fillId="4" borderId="0" xfId="4" applyFont="1" applyFill="1" applyAlignment="1">
      <alignment horizontal="left" vertical="center"/>
    </xf>
    <xf numFmtId="0" fontId="35" fillId="4" borderId="0" xfId="4" applyFont="1" applyFill="1" applyAlignment="1">
      <alignment vertical="center"/>
    </xf>
    <xf numFmtId="0" fontId="36" fillId="4" borderId="0" xfId="4" applyFont="1" applyFill="1" applyAlignment="1">
      <alignment horizontal="left" vertical="center"/>
    </xf>
    <xf numFmtId="0" fontId="19" fillId="4" borderId="3" xfId="4" applyFont="1" applyFill="1" applyBorder="1" applyAlignment="1">
      <alignment horizontal="left" vertical="center"/>
    </xf>
    <xf numFmtId="0" fontId="19" fillId="4" borderId="3" xfId="4" applyFont="1" applyFill="1" applyBorder="1" applyAlignment="1">
      <alignment horizontal="center" vertical="center"/>
    </xf>
    <xf numFmtId="0" fontId="20" fillId="4" borderId="3" xfId="4" applyFont="1" applyFill="1" applyBorder="1" applyAlignment="1">
      <alignment horizontal="left" vertical="center"/>
    </xf>
    <xf numFmtId="0" fontId="20" fillId="4" borderId="3" xfId="4" applyFont="1" applyFill="1" applyBorder="1" applyAlignment="1">
      <alignment horizontal="center" vertical="center"/>
    </xf>
    <xf numFmtId="167" fontId="20" fillId="4" borderId="0" xfId="4" applyNumberFormat="1" applyFont="1" applyFill="1" applyAlignment="1">
      <alignment horizontal="center" vertical="center"/>
    </xf>
    <xf numFmtId="164" fontId="20" fillId="4" borderId="0" xfId="4" applyNumberFormat="1" applyFont="1" applyFill="1" applyAlignment="1">
      <alignment horizontal="center" vertical="center"/>
    </xf>
    <xf numFmtId="10" fontId="20" fillId="4" borderId="3" xfId="4" applyNumberFormat="1" applyFont="1" applyFill="1" applyBorder="1" applyAlignment="1">
      <alignment horizontal="center" vertical="center"/>
    </xf>
    <xf numFmtId="0" fontId="20" fillId="4" borderId="0" xfId="4" quotePrefix="1" applyFont="1" applyFill="1" applyAlignment="1">
      <alignment horizontal="center" vertical="center"/>
    </xf>
    <xf numFmtId="164" fontId="20" fillId="4" borderId="0" xfId="6" applyNumberFormat="1" applyFont="1" applyFill="1" applyAlignment="1">
      <alignment horizontal="center" vertical="center"/>
    </xf>
    <xf numFmtId="9" fontId="20" fillId="4" borderId="3" xfId="6" applyFont="1" applyFill="1" applyBorder="1" applyAlignment="1">
      <alignment horizontal="center" vertical="center"/>
    </xf>
    <xf numFmtId="0" fontId="4" fillId="2" borderId="0" xfId="3" applyFont="1" applyFill="1"/>
    <xf numFmtId="0" fontId="38" fillId="4" borderId="3" xfId="4" applyFont="1" applyFill="1" applyBorder="1" applyAlignment="1">
      <alignment vertical="center"/>
    </xf>
    <xf numFmtId="0" fontId="38" fillId="4" borderId="3" xfId="4" applyFont="1" applyFill="1" applyBorder="1" applyAlignment="1">
      <alignment horizontal="center" vertical="center"/>
    </xf>
    <xf numFmtId="0" fontId="39" fillId="4" borderId="3" xfId="4" applyFont="1" applyFill="1" applyBorder="1" applyAlignment="1">
      <alignment vertical="center"/>
    </xf>
    <xf numFmtId="0" fontId="39" fillId="4" borderId="3" xfId="4" applyFont="1" applyFill="1" applyBorder="1" applyAlignment="1">
      <alignment horizontal="center" vertical="center"/>
    </xf>
    <xf numFmtId="0" fontId="40" fillId="2" borderId="3" xfId="3" applyFont="1" applyFill="1" applyBorder="1"/>
    <xf numFmtId="179" fontId="40" fillId="2" borderId="3" xfId="3" applyNumberFormat="1" applyFont="1" applyFill="1" applyBorder="1" applyAlignment="1">
      <alignment horizontal="center"/>
    </xf>
    <xf numFmtId="164" fontId="40" fillId="2" borderId="3" xfId="7" applyNumberFormat="1" applyFont="1" applyFill="1" applyBorder="1" applyAlignment="1">
      <alignment horizontal="center" vertical="center"/>
    </xf>
    <xf numFmtId="168" fontId="5" fillId="2" borderId="3" xfId="3" applyNumberFormat="1" applyFont="1" applyFill="1" applyBorder="1" applyAlignment="1">
      <alignment horizontal="center"/>
    </xf>
    <xf numFmtId="0" fontId="5" fillId="2" borderId="0" xfId="3" applyFont="1" applyFill="1"/>
    <xf numFmtId="164" fontId="5" fillId="2" borderId="14" xfId="9" applyNumberFormat="1" applyFont="1" applyFill="1" applyBorder="1" applyAlignment="1">
      <alignment horizontal="center"/>
    </xf>
    <xf numFmtId="9" fontId="4" fillId="2" borderId="0" xfId="9" applyFont="1" applyFill="1" applyAlignment="1">
      <alignment horizontal="center"/>
    </xf>
    <xf numFmtId="2" fontId="4" fillId="2" borderId="0" xfId="3" applyNumberFormat="1" applyFont="1" applyFill="1" applyAlignment="1">
      <alignment horizontal="center"/>
    </xf>
    <xf numFmtId="0" fontId="4" fillId="2" borderId="0" xfId="3" applyFont="1" applyFill="1" applyAlignment="1">
      <alignment horizontal="left" indent="1"/>
    </xf>
    <xf numFmtId="1" fontId="20" fillId="4" borderId="3" xfId="4" applyNumberFormat="1" applyFont="1" applyFill="1" applyBorder="1" applyAlignment="1">
      <alignment horizontal="center" vertical="center"/>
    </xf>
    <xf numFmtId="10" fontId="20" fillId="4" borderId="3" xfId="6" applyNumberFormat="1" applyFont="1" applyFill="1" applyBorder="1" applyAlignment="1">
      <alignment horizontal="center" vertical="center"/>
    </xf>
    <xf numFmtId="174" fontId="1" fillId="4" borderId="0" xfId="4" applyNumberFormat="1" applyFont="1" applyFill="1" applyAlignment="1">
      <alignment horizontal="center"/>
    </xf>
    <xf numFmtId="0" fontId="1" fillId="4" borderId="0" xfId="4" applyFont="1" applyFill="1" applyAlignment="1">
      <alignment horizontal="left"/>
    </xf>
    <xf numFmtId="10" fontId="18" fillId="4" borderId="0" xfId="4" applyNumberFormat="1" applyFont="1" applyFill="1"/>
    <xf numFmtId="0" fontId="10" fillId="3" borderId="0" xfId="0" applyFont="1" applyFill="1"/>
    <xf numFmtId="0" fontId="42" fillId="2" borderId="0" xfId="0" applyFont="1" applyFill="1"/>
    <xf numFmtId="0" fontId="10" fillId="2" borderId="0" xfId="0" applyFont="1" applyFill="1"/>
    <xf numFmtId="168" fontId="10" fillId="2" borderId="2" xfId="0" applyNumberFormat="1" applyFont="1" applyFill="1" applyBorder="1" applyAlignment="1">
      <alignment horizontal="center"/>
    </xf>
    <xf numFmtId="168" fontId="10" fillId="2" borderId="0" xfId="0" applyNumberFormat="1" applyFont="1" applyFill="1" applyBorder="1" applyAlignment="1">
      <alignment horizontal="center"/>
    </xf>
    <xf numFmtId="0" fontId="11" fillId="2" borderId="0" xfId="0" quotePrefix="1" applyFont="1" applyFill="1"/>
    <xf numFmtId="3" fontId="10" fillId="2" borderId="2" xfId="0" applyNumberFormat="1" applyFont="1" applyFill="1" applyBorder="1" applyAlignment="1">
      <alignment horizontal="center"/>
    </xf>
    <xf numFmtId="0" fontId="10" fillId="0" borderId="0" xfId="0" applyFont="1" applyFill="1"/>
    <xf numFmtId="0" fontId="10" fillId="2" borderId="0" xfId="0" applyFont="1" applyFill="1" applyAlignment="1">
      <alignment horizontal="center" vertical="center"/>
    </xf>
    <xf numFmtId="166" fontId="11" fillId="2" borderId="3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 wrapText="1"/>
    </xf>
    <xf numFmtId="0" fontId="11" fillId="2" borderId="0" xfId="0" applyFont="1" applyFill="1" applyAlignment="1">
      <alignment horizontal="right" vertical="center"/>
    </xf>
    <xf numFmtId="164" fontId="11" fillId="2" borderId="0" xfId="1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right"/>
    </xf>
    <xf numFmtId="10" fontId="10" fillId="3" borderId="2" xfId="1" applyNumberFormat="1" applyFont="1" applyFill="1" applyBorder="1" applyAlignment="1">
      <alignment horizontal="center"/>
    </xf>
    <xf numFmtId="164" fontId="11" fillId="2" borderId="0" xfId="0" applyNumberFormat="1" applyFont="1" applyFill="1"/>
    <xf numFmtId="10" fontId="11" fillId="2" borderId="0" xfId="0" applyNumberFormat="1" applyFont="1" applyFill="1"/>
    <xf numFmtId="0" fontId="46" fillId="3" borderId="0" xfId="0" applyFont="1" applyFill="1"/>
    <xf numFmtId="0" fontId="47" fillId="2" borderId="0" xfId="0" applyFont="1" applyFill="1"/>
    <xf numFmtId="0" fontId="47" fillId="2" borderId="0" xfId="0" applyFont="1" applyFill="1" applyAlignment="1">
      <alignment horizontal="center"/>
    </xf>
    <xf numFmtId="0" fontId="48" fillId="2" borderId="0" xfId="0" applyFont="1" applyFill="1"/>
    <xf numFmtId="0" fontId="47" fillId="0" borderId="0" xfId="0" applyFont="1" applyFill="1"/>
    <xf numFmtId="164" fontId="47" fillId="2" borderId="0" xfId="1" applyNumberFormat="1" applyFont="1" applyFill="1" applyAlignment="1">
      <alignment horizontal="center"/>
    </xf>
    <xf numFmtId="9" fontId="47" fillId="2" borderId="0" xfId="1" applyFont="1" applyFill="1" applyAlignment="1">
      <alignment horizontal="center"/>
    </xf>
    <xf numFmtId="0" fontId="46" fillId="2" borderId="0" xfId="0" applyFont="1" applyFill="1"/>
    <xf numFmtId="0" fontId="47" fillId="2" borderId="0" xfId="1" applyNumberFormat="1" applyFont="1" applyFill="1" applyAlignment="1">
      <alignment horizontal="center"/>
    </xf>
    <xf numFmtId="0" fontId="47" fillId="2" borderId="2" xfId="1" applyNumberFormat="1" applyFont="1" applyFill="1" applyBorder="1" applyAlignment="1">
      <alignment horizontal="center"/>
    </xf>
    <xf numFmtId="0" fontId="47" fillId="2" borderId="0" xfId="0" quotePrefix="1" applyFont="1" applyFill="1"/>
    <xf numFmtId="169" fontId="46" fillId="2" borderId="2" xfId="0" applyNumberFormat="1" applyFont="1" applyFill="1" applyBorder="1" applyAlignment="1">
      <alignment horizontal="center"/>
    </xf>
    <xf numFmtId="0" fontId="52" fillId="2" borderId="0" xfId="0" applyFont="1" applyFill="1"/>
    <xf numFmtId="0" fontId="53" fillId="2" borderId="0" xfId="0" applyFont="1" applyFill="1"/>
    <xf numFmtId="165" fontId="46" fillId="2" borderId="0" xfId="0" applyNumberFormat="1" applyFont="1" applyFill="1" applyAlignment="1">
      <alignment horizontal="center"/>
    </xf>
    <xf numFmtId="170" fontId="47" fillId="2" borderId="0" xfId="0" applyNumberFormat="1" applyFont="1" applyFill="1" applyAlignment="1">
      <alignment horizontal="center"/>
    </xf>
    <xf numFmtId="10" fontId="47" fillId="2" borderId="0" xfId="1" applyNumberFormat="1" applyFont="1" applyFill="1" applyAlignment="1">
      <alignment horizontal="center"/>
    </xf>
    <xf numFmtId="0" fontId="47" fillId="2" borderId="0" xfId="0" applyFont="1" applyFill="1" applyBorder="1" applyAlignment="1">
      <alignment horizontal="center"/>
    </xf>
    <xf numFmtId="170" fontId="47" fillId="2" borderId="0" xfId="0" applyNumberFormat="1" applyFont="1" applyFill="1"/>
    <xf numFmtId="43" fontId="47" fillId="2" borderId="0" xfId="2" applyFont="1" applyFill="1"/>
    <xf numFmtId="10" fontId="47" fillId="2" borderId="0" xfId="0" applyNumberFormat="1" applyFont="1" applyFill="1" applyAlignment="1">
      <alignment horizontal="center"/>
    </xf>
    <xf numFmtId="9" fontId="47" fillId="2" borderId="0" xfId="0" applyNumberFormat="1" applyFont="1" applyFill="1" applyAlignment="1">
      <alignment horizontal="center"/>
    </xf>
    <xf numFmtId="180" fontId="11" fillId="2" borderId="3" xfId="2" applyNumberFormat="1" applyFont="1" applyFill="1" applyBorder="1" applyAlignment="1">
      <alignment horizontal="center" vertical="center"/>
    </xf>
    <xf numFmtId="167" fontId="4" fillId="2" borderId="0" xfId="0" applyNumberFormat="1" applyFont="1" applyFill="1"/>
    <xf numFmtId="0" fontId="1" fillId="4" borderId="0" xfId="4" applyFont="1" applyFill="1"/>
    <xf numFmtId="0" fontId="54" fillId="4" borderId="0" xfId="4" applyFont="1" applyFill="1" applyAlignment="1">
      <alignment horizontal="left"/>
    </xf>
    <xf numFmtId="0" fontId="55" fillId="4" borderId="0" xfId="4" applyFont="1" applyFill="1" applyAlignment="1">
      <alignment horizontal="center" vertical="center"/>
    </xf>
    <xf numFmtId="0" fontId="54" fillId="4" borderId="0" xfId="4" applyFont="1" applyFill="1" applyAlignment="1">
      <alignment horizontal="center" vertical="center"/>
    </xf>
    <xf numFmtId="0" fontId="55" fillId="4" borderId="0" xfId="4" applyFont="1" applyFill="1" applyAlignment="1">
      <alignment horizontal="left"/>
    </xf>
    <xf numFmtId="0" fontId="55" fillId="4" borderId="0" xfId="4" applyFont="1" applyFill="1" applyAlignment="1">
      <alignment horizontal="center"/>
    </xf>
    <xf numFmtId="174" fontId="55" fillId="4" borderId="0" xfId="4" applyNumberFormat="1" applyFont="1" applyFill="1" applyAlignment="1">
      <alignment horizontal="center"/>
    </xf>
    <xf numFmtId="164" fontId="54" fillId="4" borderId="0" xfId="6" applyNumberFormat="1" applyFont="1" applyFill="1" applyAlignment="1">
      <alignment horizontal="center"/>
    </xf>
    <xf numFmtId="176" fontId="54" fillId="4" borderId="0" xfId="4" applyNumberFormat="1" applyFont="1" applyFill="1" applyAlignment="1">
      <alignment horizontal="center" vertical="center"/>
    </xf>
    <xf numFmtId="0" fontId="54" fillId="4" borderId="0" xfId="4" applyFont="1" applyFill="1" applyAlignment="1">
      <alignment horizontal="center"/>
    </xf>
    <xf numFmtId="174" fontId="55" fillId="4" borderId="4" xfId="4" applyNumberFormat="1" applyFont="1" applyFill="1" applyBorder="1" applyAlignment="1">
      <alignment horizontal="center"/>
    </xf>
    <xf numFmtId="0" fontId="55" fillId="4" borderId="0" xfId="4" applyFont="1" applyFill="1"/>
    <xf numFmtId="174" fontId="55" fillId="4" borderId="2" xfId="4" applyNumberFormat="1" applyFont="1" applyFill="1" applyBorder="1" applyAlignment="1">
      <alignment horizontal="center"/>
    </xf>
    <xf numFmtId="10" fontId="55" fillId="4" borderId="0" xfId="4" applyNumberFormat="1" applyFont="1" applyFill="1" applyAlignment="1">
      <alignment horizontal="center"/>
    </xf>
    <xf numFmtId="0" fontId="55" fillId="4" borderId="0" xfId="4" quotePrefix="1" applyFont="1" applyFill="1" applyAlignment="1">
      <alignment horizontal="center"/>
    </xf>
    <xf numFmtId="164" fontId="55" fillId="4" borderId="0" xfId="4" applyNumberFormat="1" applyFont="1" applyFill="1" applyAlignment="1">
      <alignment horizontal="center"/>
    </xf>
    <xf numFmtId="181" fontId="55" fillId="4" borderId="0" xfId="4" applyNumberFormat="1" applyFont="1" applyFill="1" applyAlignment="1">
      <alignment horizontal="center"/>
    </xf>
    <xf numFmtId="164" fontId="56" fillId="4" borderId="0" xfId="6" applyNumberFormat="1" applyFont="1" applyFill="1" applyAlignment="1">
      <alignment horizontal="center"/>
    </xf>
    <xf numFmtId="164" fontId="57" fillId="5" borderId="0" xfId="4" applyNumberFormat="1" applyFont="1" applyFill="1" applyAlignment="1">
      <alignment horizontal="center"/>
    </xf>
    <xf numFmtId="0" fontId="58" fillId="4" borderId="0" xfId="4" applyFont="1" applyFill="1" applyAlignment="1">
      <alignment horizontal="center"/>
    </xf>
    <xf numFmtId="0" fontId="58" fillId="4" borderId="0" xfId="4" applyFont="1" applyFill="1"/>
    <xf numFmtId="0" fontId="34" fillId="4" borderId="0" xfId="4" applyFont="1" applyFill="1" applyAlignment="1">
      <alignment horizontal="left"/>
    </xf>
    <xf numFmtId="0" fontId="18" fillId="3" borderId="0" xfId="4" applyFont="1" applyFill="1"/>
    <xf numFmtId="10" fontId="52" fillId="3" borderId="2" xfId="1" applyNumberFormat="1" applyFont="1" applyFill="1" applyBorder="1" applyAlignment="1">
      <alignment horizontal="center"/>
    </xf>
    <xf numFmtId="0" fontId="19" fillId="3" borderId="0" xfId="4" applyFont="1" applyFill="1" applyAlignment="1">
      <alignment vertical="center"/>
    </xf>
    <xf numFmtId="178" fontId="41" fillId="4" borderId="0" xfId="2" applyNumberFormat="1" applyFont="1" applyFill="1"/>
    <xf numFmtId="0" fontId="19" fillId="4" borderId="0" xfId="10" applyFont="1" applyFill="1" applyAlignment="1">
      <alignment horizontal="left" vertical="center"/>
    </xf>
    <xf numFmtId="0" fontId="20" fillId="4" borderId="0" xfId="10" applyFont="1" applyFill="1" applyAlignment="1">
      <alignment horizontal="center" vertical="center"/>
    </xf>
    <xf numFmtId="0" fontId="20" fillId="4" borderId="0" xfId="10" applyFont="1" applyFill="1" applyAlignment="1">
      <alignment vertical="center"/>
    </xf>
    <xf numFmtId="0" fontId="35" fillId="4" borderId="0" xfId="10" applyFont="1" applyFill="1" applyAlignment="1">
      <alignment vertical="center"/>
    </xf>
    <xf numFmtId="0" fontId="36" fillId="4" borderId="0" xfId="10" applyFont="1" applyFill="1" applyAlignment="1">
      <alignment horizontal="left" vertical="center"/>
    </xf>
    <xf numFmtId="0" fontId="24" fillId="4" borderId="0" xfId="10" applyFont="1" applyFill="1" applyAlignment="1">
      <alignment horizontal="left" vertical="center"/>
    </xf>
    <xf numFmtId="0" fontId="20" fillId="4" borderId="0" xfId="10" applyFont="1" applyFill="1" applyAlignment="1">
      <alignment horizontal="left" vertical="center"/>
    </xf>
    <xf numFmtId="0" fontId="20" fillId="4" borderId="0" xfId="10" applyFont="1" applyFill="1" applyAlignment="1">
      <alignment horizontal="right" vertical="center"/>
    </xf>
    <xf numFmtId="0" fontId="20" fillId="3" borderId="0" xfId="10" applyFont="1" applyFill="1" applyAlignment="1">
      <alignment horizontal="center" vertical="center"/>
    </xf>
    <xf numFmtId="1" fontId="19" fillId="4" borderId="0" xfId="10" applyNumberFormat="1" applyFont="1" applyFill="1" applyAlignment="1">
      <alignment horizontal="center" vertical="center"/>
    </xf>
    <xf numFmtId="166" fontId="20" fillId="4" borderId="0" xfId="10" applyNumberFormat="1" applyFont="1" applyFill="1" applyAlignment="1">
      <alignment horizontal="center" vertical="center"/>
    </xf>
    <xf numFmtId="0" fontId="21" fillId="4" borderId="0" xfId="10" quotePrefix="1" applyFont="1" applyFill="1" applyAlignment="1">
      <alignment horizontal="center" vertical="center"/>
    </xf>
    <xf numFmtId="0" fontId="20" fillId="4" borderId="0" xfId="10" quotePrefix="1" applyFont="1" applyFill="1" applyAlignment="1">
      <alignment horizontal="center" vertical="center"/>
    </xf>
    <xf numFmtId="164" fontId="19" fillId="4" borderId="0" xfId="11" applyNumberFormat="1" applyFont="1" applyFill="1" applyAlignment="1">
      <alignment horizontal="center" vertical="center"/>
    </xf>
    <xf numFmtId="164" fontId="20" fillId="4" borderId="0" xfId="11" applyNumberFormat="1" applyFont="1" applyFill="1" applyAlignment="1">
      <alignment horizontal="center" vertical="center"/>
    </xf>
    <xf numFmtId="0" fontId="20" fillId="4" borderId="0" xfId="10" quotePrefix="1" applyFont="1" applyFill="1" applyAlignment="1">
      <alignment horizontal="right" vertical="center"/>
    </xf>
    <xf numFmtId="164" fontId="20" fillId="3" borderId="0" xfId="10" applyNumberFormat="1" applyFont="1" applyFill="1" applyAlignment="1">
      <alignment horizontal="center" vertical="center"/>
    </xf>
    <xf numFmtId="0" fontId="20" fillId="4" borderId="0" xfId="10" quotePrefix="1" applyFont="1" applyFill="1" applyAlignment="1">
      <alignment horizontal="left" vertical="center"/>
    </xf>
    <xf numFmtId="0" fontId="20" fillId="4" borderId="1" xfId="10" applyFont="1" applyFill="1" applyBorder="1" applyAlignment="1">
      <alignment horizontal="left" vertical="center"/>
    </xf>
    <xf numFmtId="0" fontId="20" fillId="4" borderId="1" xfId="10" applyFont="1" applyFill="1" applyBorder="1" applyAlignment="1">
      <alignment horizontal="center" vertical="center"/>
    </xf>
    <xf numFmtId="0" fontId="20" fillId="4" borderId="1" xfId="10" applyFont="1" applyFill="1" applyBorder="1" applyAlignment="1">
      <alignment vertical="center"/>
    </xf>
    <xf numFmtId="0" fontId="35" fillId="4" borderId="1" xfId="10" applyFont="1" applyFill="1" applyBorder="1" applyAlignment="1">
      <alignment vertical="center"/>
    </xf>
    <xf numFmtId="0" fontId="36" fillId="4" borderId="1" xfId="10" applyFont="1" applyFill="1" applyBorder="1" applyAlignment="1">
      <alignment horizontal="left" vertical="center"/>
    </xf>
    <xf numFmtId="164" fontId="20" fillId="4" borderId="0" xfId="10" applyNumberFormat="1" applyFont="1" applyFill="1" applyAlignment="1">
      <alignment horizontal="center" vertical="center"/>
    </xf>
    <xf numFmtId="1" fontId="20" fillId="4" borderId="0" xfId="10" applyNumberFormat="1" applyFont="1" applyFill="1" applyAlignment="1">
      <alignment horizontal="center" vertical="center"/>
    </xf>
    <xf numFmtId="9" fontId="20" fillId="3" borderId="0" xfId="10" applyNumberFormat="1" applyFont="1" applyFill="1" applyAlignment="1">
      <alignment horizontal="center" vertical="center"/>
    </xf>
    <xf numFmtId="0" fontId="19" fillId="4" borderId="0" xfId="10" applyFont="1" applyFill="1" applyAlignment="1">
      <alignment horizontal="right" vertical="center"/>
    </xf>
    <xf numFmtId="1" fontId="19" fillId="4" borderId="0" xfId="10" applyNumberFormat="1" applyFont="1" applyFill="1" applyAlignment="1">
      <alignment horizontal="left" vertical="center"/>
    </xf>
    <xf numFmtId="3" fontId="20" fillId="4" borderId="0" xfId="10" applyNumberFormat="1" applyFont="1" applyFill="1" applyAlignment="1">
      <alignment horizontal="center" vertical="center"/>
    </xf>
    <xf numFmtId="9" fontId="20" fillId="4" borderId="0" xfId="10" applyNumberFormat="1" applyFont="1" applyFill="1" applyAlignment="1">
      <alignment horizontal="center" vertical="center"/>
    </xf>
    <xf numFmtId="164" fontId="19" fillId="4" borderId="0" xfId="10" applyNumberFormat="1" applyFont="1" applyFill="1" applyAlignment="1">
      <alignment horizontal="left" vertical="center"/>
    </xf>
    <xf numFmtId="0" fontId="35" fillId="4" borderId="0" xfId="10" applyFont="1" applyFill="1" applyAlignment="1">
      <alignment horizontal="left" vertical="center"/>
    </xf>
    <xf numFmtId="0" fontId="19" fillId="4" borderId="0" xfId="10" applyFont="1" applyFill="1" applyAlignment="1">
      <alignment horizontal="center" vertical="center"/>
    </xf>
    <xf numFmtId="1" fontId="20" fillId="3" borderId="0" xfId="10" applyNumberFormat="1" applyFont="1" applyFill="1" applyAlignment="1">
      <alignment horizontal="center" vertical="center"/>
    </xf>
    <xf numFmtId="9" fontId="19" fillId="3" borderId="0" xfId="11" applyNumberFormat="1" applyFont="1" applyFill="1" applyAlignment="1">
      <alignment horizontal="center" vertical="center"/>
    </xf>
    <xf numFmtId="10" fontId="20" fillId="3" borderId="0" xfId="10" applyNumberFormat="1" applyFont="1" applyFill="1" applyAlignment="1">
      <alignment horizontal="center" vertical="center"/>
    </xf>
    <xf numFmtId="0" fontId="5" fillId="3" borderId="0" xfId="8" applyFont="1" applyFill="1"/>
    <xf numFmtId="0" fontId="9" fillId="3" borderId="0" xfId="3" applyFont="1" applyFill="1"/>
    <xf numFmtId="0" fontId="11" fillId="3" borderId="0" xfId="0" applyFont="1" applyFill="1"/>
    <xf numFmtId="0" fontId="11" fillId="3" borderId="0" xfId="0" applyFont="1" applyFill="1" applyBorder="1" applyAlignment="1">
      <alignment horizontal="center"/>
    </xf>
    <xf numFmtId="10" fontId="4" fillId="2" borderId="0" xfId="3" applyNumberFormat="1" applyFont="1" applyFill="1"/>
    <xf numFmtId="0" fontId="20" fillId="4" borderId="0" xfId="4" applyFont="1" applyFill="1" applyAlignment="1">
      <alignment horizontal="center" vertical="center"/>
    </xf>
    <xf numFmtId="0" fontId="20" fillId="4" borderId="5" xfId="4" applyFont="1" applyFill="1" applyBorder="1" applyAlignment="1">
      <alignment horizontal="left" vertical="center"/>
    </xf>
    <xf numFmtId="0" fontId="20" fillId="4" borderId="6" xfId="4" applyFont="1" applyFill="1" applyBorder="1" applyAlignment="1">
      <alignment horizontal="left" vertical="center"/>
    </xf>
    <xf numFmtId="0" fontId="20" fillId="4" borderId="8" xfId="4" applyFont="1" applyFill="1" applyBorder="1" applyAlignment="1">
      <alignment horizontal="left" vertical="center"/>
    </xf>
    <xf numFmtId="0" fontId="20" fillId="4" borderId="9" xfId="4" applyFont="1" applyFill="1" applyBorder="1" applyAlignment="1">
      <alignment horizontal="left" vertical="center"/>
    </xf>
    <xf numFmtId="0" fontId="20" fillId="4" borderId="0" xfId="4" quotePrefix="1" applyFont="1" applyFill="1" applyAlignment="1">
      <alignment horizontal="center" vertical="center"/>
    </xf>
    <xf numFmtId="0" fontId="46" fillId="3" borderId="0" xfId="0" applyFont="1" applyFill="1" applyAlignment="1">
      <alignment horizontal="center" wrapText="1"/>
    </xf>
    <xf numFmtId="0" fontId="47" fillId="3" borderId="0" xfId="0" applyFont="1" applyFill="1" applyAlignment="1">
      <alignment horizontal="center" wrapText="1"/>
    </xf>
    <xf numFmtId="0" fontId="28" fillId="4" borderId="0" xfId="4" applyFont="1" applyFill="1" applyAlignment="1">
      <alignment horizontal="left" vertical="center" wrapText="1"/>
    </xf>
    <xf numFmtId="0" fontId="19" fillId="4" borderId="0" xfId="10" applyFont="1" applyFill="1" applyAlignment="1">
      <alignment horizontal="center" vertical="center"/>
    </xf>
  </cellXfs>
  <cellStyles count="12">
    <cellStyle name="Comma" xfId="2" builtinId="3"/>
    <cellStyle name="Normal" xfId="0" builtinId="0"/>
    <cellStyle name="Normal 2" xfId="4" xr:uid="{564058D0-676C-416B-AF86-166999D309AD}"/>
    <cellStyle name="Normal 3" xfId="8" xr:uid="{EBD32074-5AC7-4ACC-9E61-75BE986A9786}"/>
    <cellStyle name="Normal 4" xfId="3" xr:uid="{515943C1-F5DB-4E1C-B0C5-08C1B928A3D8}"/>
    <cellStyle name="Normal 5" xfId="10" xr:uid="{FF6EF572-8084-4F0C-934E-73A66C200A4D}"/>
    <cellStyle name="Per cent 2" xfId="6" xr:uid="{7C8C6C81-4CA8-4999-AC6F-20C43057CA59}"/>
    <cellStyle name="Per cent 4" xfId="9" xr:uid="{B6CE7B71-DF53-4837-9F76-8DB7A030FBA6}"/>
    <cellStyle name="Percent" xfId="1" builtinId="5"/>
    <cellStyle name="Percent 2" xfId="5" xr:uid="{0A0D195C-4DB9-477A-A335-8FA9E25CFF3A}"/>
    <cellStyle name="Percent 3" xfId="7" xr:uid="{DB3DA16C-BBE0-4C51-9A9D-DBA35F90EAAD}"/>
    <cellStyle name="Percent 4" xfId="11" xr:uid="{FAFE8D96-0BC1-4054-91BE-C6E3442919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D7E93-4342-4B49-A578-72D94ADDB4E6}">
  <sheetPr>
    <pageSetUpPr fitToPage="1"/>
  </sheetPr>
  <dimension ref="A1:M39"/>
  <sheetViews>
    <sheetView zoomScale="90" zoomScaleNormal="90" workbookViewId="0">
      <selection activeCell="H6" sqref="H6:I8"/>
    </sheetView>
  </sheetViews>
  <sheetFormatPr defaultColWidth="9.1796875" defaultRowHeight="15.5" x14ac:dyDescent="0.25"/>
  <cols>
    <col min="1" max="1" width="16.26953125" style="47" customWidth="1"/>
    <col min="2" max="5" width="12.7265625" style="47" customWidth="1"/>
    <col min="6" max="9" width="12.7265625" style="48" customWidth="1"/>
    <col min="10" max="10" width="15.26953125" style="47" bestFit="1" customWidth="1"/>
    <col min="11" max="11" width="9.1796875" style="47"/>
    <col min="12" max="12" width="9.1796875" style="48" hidden="1" customWidth="1"/>
    <col min="13" max="16384" width="9.1796875" style="47"/>
  </cols>
  <sheetData>
    <row r="1" spans="1:13" x14ac:dyDescent="0.25">
      <c r="A1" s="252" t="s">
        <v>45</v>
      </c>
    </row>
    <row r="2" spans="1:13" x14ac:dyDescent="0.25">
      <c r="A2" s="46"/>
    </row>
    <row r="3" spans="1:13" x14ac:dyDescent="0.25">
      <c r="A3" s="46" t="s">
        <v>56</v>
      </c>
      <c r="C3" s="48"/>
      <c r="F3" s="49">
        <v>1100</v>
      </c>
    </row>
    <row r="5" spans="1:13" x14ac:dyDescent="0.25">
      <c r="A5" s="296" t="s">
        <v>26</v>
      </c>
      <c r="B5" s="297"/>
      <c r="C5" s="50" t="s">
        <v>57</v>
      </c>
      <c r="D5" s="50" t="s">
        <v>57</v>
      </c>
      <c r="E5" s="50" t="s">
        <v>57</v>
      </c>
      <c r="F5" s="50" t="s">
        <v>57</v>
      </c>
      <c r="G5" s="50" t="s">
        <v>57</v>
      </c>
      <c r="H5" s="51" t="s">
        <v>58</v>
      </c>
      <c r="I5" s="50" t="s">
        <v>58</v>
      </c>
    </row>
    <row r="6" spans="1:13" x14ac:dyDescent="0.25">
      <c r="A6" s="298"/>
      <c r="B6" s="299"/>
      <c r="C6" s="52">
        <f>D6-1</f>
        <v>2016</v>
      </c>
      <c r="D6" s="52">
        <f>E6-1</f>
        <v>2017</v>
      </c>
      <c r="E6" s="52">
        <f>F6-1</f>
        <v>2018</v>
      </c>
      <c r="F6" s="52">
        <f>G6-1</f>
        <v>2019</v>
      </c>
      <c r="G6" s="52">
        <f>H6-1</f>
        <v>2020</v>
      </c>
      <c r="H6" s="53">
        <v>2021</v>
      </c>
      <c r="I6" s="52">
        <f>H6+1</f>
        <v>2022</v>
      </c>
    </row>
    <row r="7" spans="1:13" ht="30" customHeight="1" x14ac:dyDescent="0.25">
      <c r="A7" s="54" t="s">
        <v>59</v>
      </c>
      <c r="B7" s="55"/>
      <c r="C7" s="56">
        <v>49</v>
      </c>
      <c r="D7" s="57">
        <v>49.7</v>
      </c>
      <c r="E7" s="57">
        <v>50.4</v>
      </c>
      <c r="F7" s="57">
        <v>51.2</v>
      </c>
      <c r="G7" s="58">
        <v>52</v>
      </c>
      <c r="H7" s="59">
        <v>52.8</v>
      </c>
      <c r="I7" s="57">
        <v>53.6</v>
      </c>
    </row>
    <row r="8" spans="1:13" ht="30" customHeight="1" x14ac:dyDescent="0.25">
      <c r="A8" s="54" t="s">
        <v>60</v>
      </c>
      <c r="B8" s="55"/>
      <c r="C8" s="57">
        <v>34.799999999999997</v>
      </c>
      <c r="D8" s="58">
        <v>36</v>
      </c>
      <c r="E8" s="57">
        <v>37.299999999999997</v>
      </c>
      <c r="F8" s="57">
        <v>38.6</v>
      </c>
      <c r="G8" s="58">
        <v>40</v>
      </c>
      <c r="H8" s="59">
        <v>41.4</v>
      </c>
      <c r="I8" s="57">
        <v>42.8</v>
      </c>
    </row>
    <row r="10" spans="1:13" ht="18" customHeight="1" x14ac:dyDescent="0.25">
      <c r="A10" s="60" t="s">
        <v>61</v>
      </c>
    </row>
    <row r="11" spans="1:13" ht="18" customHeight="1" x14ac:dyDescent="0.25">
      <c r="M11" s="61"/>
    </row>
    <row r="12" spans="1:13" ht="18" customHeight="1" x14ac:dyDescent="0.25">
      <c r="A12" s="47" t="s">
        <v>62</v>
      </c>
      <c r="F12" s="62">
        <f>F3</f>
        <v>1100</v>
      </c>
      <c r="G12" s="63" t="s">
        <v>63</v>
      </c>
      <c r="H12" s="62">
        <f>H7</f>
        <v>52.8</v>
      </c>
      <c r="I12" s="48" t="s">
        <v>64</v>
      </c>
      <c r="J12" s="64">
        <f>F12/H12</f>
        <v>20.833333333333336</v>
      </c>
    </row>
    <row r="13" spans="1:13" ht="18" customHeight="1" x14ac:dyDescent="0.25">
      <c r="B13" s="48"/>
      <c r="C13" s="48"/>
      <c r="D13" s="48"/>
      <c r="E13" s="48"/>
    </row>
    <row r="14" spans="1:13" ht="18" customHeight="1" x14ac:dyDescent="0.25">
      <c r="B14" s="48"/>
      <c r="C14" s="48"/>
      <c r="D14" s="48"/>
      <c r="E14" s="48"/>
      <c r="F14" s="65" t="s">
        <v>65</v>
      </c>
      <c r="H14" s="295" t="s">
        <v>66</v>
      </c>
      <c r="I14" s="295"/>
      <c r="J14" s="48">
        <f>ROUND(B15*0.9,1)</f>
        <v>14.9</v>
      </c>
    </row>
    <row r="15" spans="1:13" ht="18" customHeight="1" x14ac:dyDescent="0.25">
      <c r="A15" s="47" t="s">
        <v>67</v>
      </c>
      <c r="B15" s="64">
        <v>16.5</v>
      </c>
      <c r="C15" s="64"/>
      <c r="D15" s="64"/>
      <c r="E15" s="64"/>
      <c r="F15" s="65" t="s">
        <v>68</v>
      </c>
      <c r="G15" s="47"/>
      <c r="H15" s="300" t="s">
        <v>69</v>
      </c>
      <c r="I15" s="300"/>
      <c r="J15" s="48"/>
      <c r="L15" s="67">
        <v>0.1</v>
      </c>
    </row>
    <row r="16" spans="1:13" ht="18" customHeight="1" x14ac:dyDescent="0.25">
      <c r="B16" s="48"/>
      <c r="C16" s="48"/>
      <c r="D16" s="48"/>
      <c r="E16" s="48"/>
      <c r="F16" s="65" t="s">
        <v>70</v>
      </c>
      <c r="H16" s="295" t="s">
        <v>71</v>
      </c>
      <c r="I16" s="295"/>
      <c r="J16" s="48">
        <f>ROUND(B15*1.1,1)</f>
        <v>18.2</v>
      </c>
    </row>
    <row r="17" spans="1:13" ht="18" customHeight="1" x14ac:dyDescent="0.25">
      <c r="B17" s="48"/>
      <c r="C17" s="48"/>
      <c r="D17" s="48"/>
      <c r="E17" s="48"/>
    </row>
    <row r="18" spans="1:13" ht="19.5" customHeight="1" x14ac:dyDescent="0.25">
      <c r="A18" s="65" t="s">
        <v>72</v>
      </c>
      <c r="B18" s="48"/>
      <c r="C18" s="48"/>
      <c r="D18" s="48"/>
      <c r="E18" s="48"/>
      <c r="F18" s="47"/>
      <c r="H18" s="47"/>
      <c r="J18" s="68" t="str">
        <f>IF(J12&gt;(B15*(1+L15)),"Overvalued",IF(J12&lt;(B15*(1-L15)),"Undervalued","Fairly Valued"))</f>
        <v>Overvalued</v>
      </c>
    </row>
    <row r="19" spans="1:13" ht="18" customHeight="1" x14ac:dyDescent="0.25">
      <c r="A19" s="65"/>
      <c r="B19" s="48"/>
      <c r="C19" s="48"/>
      <c r="D19" s="48"/>
      <c r="E19" s="48"/>
      <c r="F19" s="47"/>
      <c r="H19" s="47"/>
      <c r="J19" s="68"/>
      <c r="K19" s="69"/>
    </row>
    <row r="20" spans="1:13" ht="18" customHeight="1" x14ac:dyDescent="0.25">
      <c r="B20" s="48"/>
      <c r="C20" s="48"/>
      <c r="D20" s="48"/>
      <c r="E20" s="48"/>
      <c r="H20" s="48">
        <f t="shared" ref="H20:I20" si="0">H6</f>
        <v>2021</v>
      </c>
      <c r="I20" s="48">
        <f t="shared" si="0"/>
        <v>2022</v>
      </c>
    </row>
    <row r="21" spans="1:13" ht="18" customHeight="1" x14ac:dyDescent="0.25">
      <c r="A21" s="47" t="s">
        <v>73</v>
      </c>
      <c r="B21" s="48"/>
      <c r="C21" s="48"/>
      <c r="D21" s="48"/>
      <c r="E21" s="48"/>
      <c r="G21" s="70"/>
      <c r="H21" s="70">
        <f>(H7-G7)/G7</f>
        <v>1.538461538461533E-2</v>
      </c>
      <c r="I21" s="70">
        <f>(I7-H7)/H7</f>
        <v>1.5151515151515233E-2</v>
      </c>
      <c r="J21" s="71" t="s">
        <v>12</v>
      </c>
    </row>
    <row r="22" spans="1:13" ht="18" customHeight="1" x14ac:dyDescent="0.25">
      <c r="B22" s="48"/>
      <c r="C22" s="48"/>
      <c r="D22" s="48"/>
      <c r="E22" s="48"/>
      <c r="G22" s="70"/>
      <c r="H22" s="70"/>
      <c r="I22" s="70"/>
      <c r="J22" s="68"/>
    </row>
    <row r="23" spans="1:13" ht="18" customHeight="1" x14ac:dyDescent="0.25">
      <c r="A23" s="60" t="s">
        <v>74</v>
      </c>
      <c r="B23" s="48"/>
      <c r="C23" s="48"/>
      <c r="D23" s="48"/>
      <c r="E23" s="48"/>
      <c r="K23" s="72"/>
    </row>
    <row r="24" spans="1:13" ht="18" customHeight="1" x14ac:dyDescent="0.25">
      <c r="B24" s="48"/>
      <c r="C24" s="48"/>
      <c r="D24" s="48"/>
      <c r="E24" s="48"/>
    </row>
    <row r="25" spans="1:13" ht="18" customHeight="1" x14ac:dyDescent="0.25">
      <c r="A25" s="47" t="s">
        <v>75</v>
      </c>
      <c r="F25" s="62">
        <f>H8</f>
        <v>41.4</v>
      </c>
      <c r="G25" s="63" t="s">
        <v>63</v>
      </c>
      <c r="H25" s="62">
        <f>F3</f>
        <v>1100</v>
      </c>
      <c r="I25" s="48" t="s">
        <v>64</v>
      </c>
      <c r="J25" s="73">
        <f>F25/H25</f>
        <v>3.7636363636363634E-2</v>
      </c>
      <c r="M25" s="74"/>
    </row>
    <row r="26" spans="1:13" ht="18" customHeight="1" x14ac:dyDescent="0.25"/>
    <row r="27" spans="1:13" ht="18" customHeight="1" x14ac:dyDescent="0.25">
      <c r="F27" s="65" t="s">
        <v>76</v>
      </c>
      <c r="H27" s="295" t="s">
        <v>77</v>
      </c>
      <c r="I27" s="295"/>
      <c r="J27" s="75">
        <f>ROUND(B28*1.1,3)</f>
        <v>0.05</v>
      </c>
    </row>
    <row r="28" spans="1:13" ht="18" customHeight="1" x14ac:dyDescent="0.25">
      <c r="A28" s="47" t="s">
        <v>78</v>
      </c>
      <c r="B28" s="73">
        <v>4.4999999999999998E-2</v>
      </c>
      <c r="C28" s="73"/>
      <c r="D28" s="73"/>
      <c r="E28" s="73"/>
      <c r="F28" s="65" t="s">
        <v>68</v>
      </c>
      <c r="G28" s="47"/>
      <c r="H28" s="295" t="s">
        <v>69</v>
      </c>
      <c r="I28" s="295"/>
      <c r="L28" s="67">
        <f>L15</f>
        <v>0.1</v>
      </c>
    </row>
    <row r="29" spans="1:13" ht="18" customHeight="1" x14ac:dyDescent="0.25">
      <c r="F29" s="65" t="s">
        <v>79</v>
      </c>
      <c r="H29" s="295" t="s">
        <v>80</v>
      </c>
      <c r="I29" s="295"/>
      <c r="J29" s="75">
        <f>ROUND(B28*0.9,3)</f>
        <v>4.1000000000000002E-2</v>
      </c>
      <c r="L29" s="67"/>
    </row>
    <row r="30" spans="1:13" ht="18" customHeight="1" x14ac:dyDescent="0.25">
      <c r="F30" s="73"/>
      <c r="J30" s="68"/>
      <c r="L30" s="67"/>
    </row>
    <row r="31" spans="1:13" ht="18" customHeight="1" x14ac:dyDescent="0.25">
      <c r="A31" s="65" t="s">
        <v>72</v>
      </c>
      <c r="G31" s="47"/>
      <c r="J31" s="68" t="str">
        <f>IF(J25&lt;(B28*(1-L28)),"Overvalued",IF(J25&gt;(B28*(1+L28)),"Undervalued","Fairly Valued"))</f>
        <v>Overvalued</v>
      </c>
      <c r="L31" s="67"/>
    </row>
    <row r="32" spans="1:13" ht="18" customHeight="1" x14ac:dyDescent="0.25">
      <c r="A32" s="65"/>
      <c r="G32" s="47"/>
      <c r="J32" s="68"/>
      <c r="L32" s="67"/>
    </row>
    <row r="33" spans="1:11" ht="18" customHeight="1" x14ac:dyDescent="0.25">
      <c r="B33" s="48"/>
      <c r="C33" s="48"/>
      <c r="D33" s="48"/>
      <c r="E33" s="48"/>
      <c r="H33" s="48">
        <f t="shared" ref="H33:I33" si="1">H6</f>
        <v>2021</v>
      </c>
      <c r="I33" s="48">
        <f t="shared" si="1"/>
        <v>2022</v>
      </c>
    </row>
    <row r="34" spans="1:11" ht="18" customHeight="1" x14ac:dyDescent="0.25">
      <c r="A34" s="47" t="s">
        <v>81</v>
      </c>
      <c r="B34" s="48"/>
      <c r="C34" s="48"/>
      <c r="D34" s="48"/>
      <c r="E34" s="48"/>
      <c r="G34" s="70"/>
      <c r="H34" s="70">
        <f>(H8-G8)/G8</f>
        <v>3.4999999999999962E-2</v>
      </c>
      <c r="I34" s="70">
        <f>(I8-H8)/H8</f>
        <v>3.3816425120772917E-2</v>
      </c>
      <c r="J34" s="71" t="s">
        <v>12</v>
      </c>
    </row>
    <row r="36" spans="1:11" x14ac:dyDescent="0.25">
      <c r="A36" s="60" t="s">
        <v>82</v>
      </c>
      <c r="K36" s="72"/>
    </row>
    <row r="37" spans="1:11" x14ac:dyDescent="0.25">
      <c r="J37" s="76"/>
    </row>
    <row r="38" spans="1:11" ht="32.15" customHeight="1" x14ac:dyDescent="0.25">
      <c r="A38" s="47" t="s">
        <v>83</v>
      </c>
      <c r="J38" s="68" t="s">
        <v>12</v>
      </c>
    </row>
    <row r="39" spans="1:11" ht="32.15" customHeight="1" x14ac:dyDescent="0.25">
      <c r="A39" s="47" t="s">
        <v>84</v>
      </c>
      <c r="J39" s="77" t="s">
        <v>85</v>
      </c>
    </row>
  </sheetData>
  <mergeCells count="7">
    <mergeCell ref="H29:I29"/>
    <mergeCell ref="A5:B6"/>
    <mergeCell ref="H14:I14"/>
    <mergeCell ref="H15:I15"/>
    <mergeCell ref="H16:I16"/>
    <mergeCell ref="H27:I27"/>
    <mergeCell ref="H28:I28"/>
  </mergeCells>
  <pageMargins left="0.31496062992126" right="0.31496062992126" top="0.55118110236220497" bottom="0.55118110236220497" header="0.31496062992126" footer="0.31496062992126"/>
  <pageSetup paperSize="9" scale="7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I34"/>
  <sheetViews>
    <sheetView topLeftCell="A10" zoomScale="80" zoomScaleNormal="80" workbookViewId="0">
      <selection activeCell="D12" sqref="D12"/>
    </sheetView>
  </sheetViews>
  <sheetFormatPr defaultColWidth="9.08984375" defaultRowHeight="17.5" x14ac:dyDescent="0.35"/>
  <cols>
    <col min="1" max="1" width="9.08984375" style="16"/>
    <col min="2" max="2" width="58.6328125" style="16" customWidth="1"/>
    <col min="3" max="3" width="17.6328125" style="16" customWidth="1"/>
    <col min="4" max="4" width="17.36328125" style="16" customWidth="1"/>
    <col min="5" max="5" width="18.6328125" style="16" customWidth="1"/>
    <col min="6" max="6" width="14.54296875" style="16" customWidth="1"/>
    <col min="7" max="7" width="16.54296875" style="16" customWidth="1"/>
    <col min="8" max="8" width="9.08984375" style="16"/>
    <col min="9" max="9" width="12.36328125" style="16" bestFit="1" customWidth="1"/>
    <col min="10" max="16384" width="9.08984375" style="16"/>
  </cols>
  <sheetData>
    <row r="2" spans="2:5" ht="18" x14ac:dyDescent="0.4">
      <c r="B2" s="187" t="s">
        <v>45</v>
      </c>
    </row>
    <row r="4" spans="2:5" ht="18" x14ac:dyDescent="0.4">
      <c r="B4" s="188" t="s">
        <v>21</v>
      </c>
    </row>
    <row r="6" spans="2:5" ht="18.5" thickBot="1" x14ac:dyDescent="0.45">
      <c r="B6" s="16" t="s">
        <v>25</v>
      </c>
      <c r="C6" s="189"/>
      <c r="D6" s="190">
        <v>1100</v>
      </c>
      <c r="E6" s="16" t="s">
        <v>32</v>
      </c>
    </row>
    <row r="7" spans="2:5" ht="18.5" thickTop="1" x14ac:dyDescent="0.4">
      <c r="B7" s="16" t="s">
        <v>46</v>
      </c>
      <c r="C7" s="189"/>
      <c r="D7" s="191">
        <v>50</v>
      </c>
    </row>
    <row r="9" spans="2:5" ht="20" x14ac:dyDescent="0.5">
      <c r="B9" s="189" t="s">
        <v>179</v>
      </c>
    </row>
    <row r="10" spans="2:5" ht="18" x14ac:dyDescent="0.4">
      <c r="B10" s="189"/>
    </row>
    <row r="11" spans="2:5" ht="20.5" x14ac:dyDescent="0.5">
      <c r="B11" s="192" t="s">
        <v>180</v>
      </c>
    </row>
    <row r="12" spans="2:5" ht="21" thickBot="1" x14ac:dyDescent="0.55000000000000004">
      <c r="B12" s="16" t="s">
        <v>181</v>
      </c>
      <c r="D12" s="193">
        <f>D6/100*50</f>
        <v>550</v>
      </c>
    </row>
    <row r="13" spans="2:5" ht="18" thickTop="1" x14ac:dyDescent="0.35"/>
    <row r="15" spans="2:5" ht="20" x14ac:dyDescent="0.5">
      <c r="B15" s="194" t="s">
        <v>182</v>
      </c>
    </row>
    <row r="16" spans="2:5" ht="18" x14ac:dyDescent="0.4">
      <c r="B16" s="189"/>
    </row>
    <row r="17" spans="2:9" s="195" customFormat="1" ht="25.25" customHeight="1" x14ac:dyDescent="0.25">
      <c r="B17" s="24" t="s">
        <v>26</v>
      </c>
      <c r="C17" s="24">
        <v>2016</v>
      </c>
      <c r="D17" s="24">
        <v>2017</v>
      </c>
      <c r="E17" s="24">
        <v>2018</v>
      </c>
      <c r="F17" s="24">
        <v>2019</v>
      </c>
      <c r="G17" s="24">
        <v>2020</v>
      </c>
    </row>
    <row r="18" spans="2:9" s="195" customFormat="1" ht="25.25" customHeight="1" x14ac:dyDescent="0.25">
      <c r="B18" s="23" t="s">
        <v>27</v>
      </c>
      <c r="C18" s="196">
        <v>34.799999999999997</v>
      </c>
      <c r="D18" s="196">
        <v>36</v>
      </c>
      <c r="E18" s="196">
        <v>37.299999999999997</v>
      </c>
      <c r="F18" s="196">
        <v>38.6</v>
      </c>
      <c r="G18" s="196">
        <v>40</v>
      </c>
    </row>
    <row r="19" spans="2:9" ht="18" x14ac:dyDescent="0.4">
      <c r="B19" s="189"/>
    </row>
    <row r="20" spans="2:9" ht="35" x14ac:dyDescent="0.35">
      <c r="B20" s="197" t="s">
        <v>28</v>
      </c>
      <c r="E20" s="198" t="s">
        <v>183</v>
      </c>
      <c r="F20" s="199">
        <f>((G18/C18)^(1/4))-1</f>
        <v>3.5428672018403606E-2</v>
      </c>
    </row>
    <row r="21" spans="2:9" ht="18" x14ac:dyDescent="0.4">
      <c r="B21" s="189"/>
      <c r="F21" s="18"/>
    </row>
    <row r="22" spans="2:9" ht="21" thickBot="1" x14ac:dyDescent="0.55000000000000004">
      <c r="B22" s="16" t="s">
        <v>184</v>
      </c>
      <c r="E22" s="200" t="s">
        <v>185</v>
      </c>
      <c r="F22" s="201">
        <f>(G18*(1+F20)/D6)+F20</f>
        <v>7.3080623728163735E-2</v>
      </c>
      <c r="I22" s="202"/>
    </row>
    <row r="23" spans="2:9" ht="18.5" thickTop="1" x14ac:dyDescent="0.4">
      <c r="B23" s="189"/>
      <c r="F23" s="18"/>
    </row>
    <row r="24" spans="2:9" ht="18" x14ac:dyDescent="0.4">
      <c r="B24" s="189"/>
      <c r="F24" s="18"/>
    </row>
    <row r="25" spans="2:9" ht="18" x14ac:dyDescent="0.4">
      <c r="B25" s="189"/>
      <c r="F25" s="18"/>
      <c r="I25" s="203"/>
    </row>
    <row r="26" spans="2:9" ht="18" x14ac:dyDescent="0.4">
      <c r="B26" s="189"/>
      <c r="F26" s="18"/>
    </row>
    <row r="27" spans="2:9" ht="18" x14ac:dyDescent="0.4">
      <c r="B27" s="189"/>
      <c r="F27" s="18"/>
    </row>
    <row r="28" spans="2:9" ht="18" x14ac:dyDescent="0.4">
      <c r="B28" s="189"/>
      <c r="F28" s="18"/>
    </row>
    <row r="29" spans="2:9" ht="18" x14ac:dyDescent="0.4">
      <c r="B29" s="189"/>
      <c r="F29" s="18"/>
    </row>
    <row r="30" spans="2:9" ht="18" x14ac:dyDescent="0.4">
      <c r="B30" s="189"/>
    </row>
    <row r="31" spans="2:9" ht="18" x14ac:dyDescent="0.4">
      <c r="B31" s="189"/>
    </row>
    <row r="32" spans="2:9" ht="18" x14ac:dyDescent="0.4">
      <c r="B32" s="189"/>
    </row>
    <row r="33" spans="2:2" ht="18" x14ac:dyDescent="0.4">
      <c r="B33" s="189"/>
    </row>
    <row r="34" spans="2:2" ht="18" x14ac:dyDescent="0.4">
      <c r="B34" s="189"/>
    </row>
  </sheetData>
  <phoneticPr fontId="6" type="noConversion"/>
  <printOptions horizontalCentered="1"/>
  <pageMargins left="0.15748031496062992" right="0.15748031496062992" top="0.98425196850393704" bottom="0.98425196850393704" header="0.51181102362204722" footer="0.51181102362204722"/>
  <pageSetup paperSize="9" scale="71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J43"/>
  <sheetViews>
    <sheetView zoomScale="80" zoomScaleNormal="80" workbookViewId="0">
      <selection activeCell="F21" sqref="F21"/>
    </sheetView>
  </sheetViews>
  <sheetFormatPr defaultColWidth="9.08984375" defaultRowHeight="19" x14ac:dyDescent="0.4"/>
  <cols>
    <col min="1" max="1" width="9.08984375" style="205"/>
    <col min="2" max="2" width="67.08984375" style="205" customWidth="1"/>
    <col min="3" max="5" width="16.6328125" style="205" customWidth="1"/>
    <col min="6" max="6" width="18.54296875" style="205" customWidth="1"/>
    <col min="7" max="7" width="9.08984375" style="205"/>
    <col min="8" max="8" width="11" style="205" bestFit="1" customWidth="1"/>
    <col min="9" max="9" width="9.08984375" style="205"/>
    <col min="10" max="10" width="13" style="206" customWidth="1"/>
    <col min="11" max="16384" width="9.08984375" style="205"/>
  </cols>
  <sheetData>
    <row r="2" spans="2:4" x14ac:dyDescent="0.4">
      <c r="B2" s="204" t="s">
        <v>45</v>
      </c>
    </row>
    <row r="4" spans="2:4" x14ac:dyDescent="0.4">
      <c r="B4" s="207" t="s">
        <v>23</v>
      </c>
    </row>
    <row r="6" spans="2:4" x14ac:dyDescent="0.4">
      <c r="B6" s="205" t="s">
        <v>29</v>
      </c>
      <c r="C6" s="206">
        <v>50</v>
      </c>
    </row>
    <row r="7" spans="2:4" ht="19.5" x14ac:dyDescent="0.45">
      <c r="B7" s="208" t="s">
        <v>186</v>
      </c>
      <c r="C7" s="206">
        <v>132</v>
      </c>
      <c r="D7" s="205" t="s">
        <v>195</v>
      </c>
    </row>
    <row r="8" spans="2:4" x14ac:dyDescent="0.4">
      <c r="B8" s="205" t="s">
        <v>30</v>
      </c>
      <c r="C8" s="209">
        <v>0.08</v>
      </c>
    </row>
    <row r="9" spans="2:4" x14ac:dyDescent="0.4">
      <c r="B9" s="205" t="s">
        <v>31</v>
      </c>
      <c r="C9" s="206">
        <v>13</v>
      </c>
      <c r="D9" s="205" t="s">
        <v>0</v>
      </c>
    </row>
    <row r="10" spans="2:4" x14ac:dyDescent="0.4">
      <c r="B10" s="208" t="s">
        <v>33</v>
      </c>
      <c r="C10" s="210">
        <v>0.2</v>
      </c>
    </row>
    <row r="11" spans="2:4" x14ac:dyDescent="0.4">
      <c r="C11" s="210"/>
    </row>
    <row r="12" spans="2:4" x14ac:dyDescent="0.4">
      <c r="B12" s="211" t="s">
        <v>50</v>
      </c>
      <c r="C12" s="210"/>
    </row>
    <row r="13" spans="2:4" x14ac:dyDescent="0.4">
      <c r="C13" s="210"/>
    </row>
    <row r="14" spans="2:4" x14ac:dyDescent="0.4">
      <c r="B14" s="205" t="s">
        <v>47</v>
      </c>
      <c r="C14" s="212">
        <v>132</v>
      </c>
    </row>
    <row r="15" spans="2:4" x14ac:dyDescent="0.4">
      <c r="B15" s="205" t="s">
        <v>48</v>
      </c>
      <c r="C15" s="212">
        <f>-C8*100</f>
        <v>-8</v>
      </c>
    </row>
    <row r="16" spans="2:4" ht="19.5" thickBot="1" x14ac:dyDescent="0.45">
      <c r="B16" s="211" t="s">
        <v>49</v>
      </c>
      <c r="C16" s="213">
        <f>SUM(C14:C15)</f>
        <v>124</v>
      </c>
    </row>
    <row r="17" spans="2:10" ht="19.5" thickTop="1" x14ac:dyDescent="0.4">
      <c r="C17" s="210"/>
    </row>
    <row r="18" spans="2:10" ht="23" x14ac:dyDescent="0.6">
      <c r="B18" s="211" t="s">
        <v>187</v>
      </c>
    </row>
    <row r="19" spans="2:10" x14ac:dyDescent="0.4">
      <c r="B19" s="211"/>
    </row>
    <row r="20" spans="2:10" ht="22" x14ac:dyDescent="0.55000000000000004">
      <c r="B20" s="214" t="s">
        <v>188</v>
      </c>
    </row>
    <row r="21" spans="2:10" ht="22.5" thickBot="1" x14ac:dyDescent="0.6">
      <c r="B21" s="214" t="s">
        <v>189</v>
      </c>
      <c r="D21" s="211"/>
      <c r="F21" s="215">
        <f>C6*C16/100</f>
        <v>62</v>
      </c>
    </row>
    <row r="22" spans="2:10" ht="19.5" thickTop="1" x14ac:dyDescent="0.4"/>
    <row r="23" spans="2:10" ht="21" x14ac:dyDescent="0.6">
      <c r="B23" s="301" t="s">
        <v>190</v>
      </c>
      <c r="C23" s="302"/>
      <c r="D23" s="302"/>
      <c r="E23" s="302"/>
      <c r="F23" s="302"/>
    </row>
    <row r="25" spans="2:10" ht="19.5" thickBot="1" x14ac:dyDescent="0.45">
      <c r="B25" s="216" t="s">
        <v>35</v>
      </c>
      <c r="C25" s="217"/>
      <c r="D25" s="217"/>
      <c r="E25" s="217"/>
      <c r="F25" s="251">
        <f ca="1">YIELD(F27,F29,F33,F37,F39,2)</f>
        <v>4.0126094301931599E-2</v>
      </c>
    </row>
    <row r="26" spans="2:10" ht="19.5" thickTop="1" x14ac:dyDescent="0.4">
      <c r="B26" s="214"/>
      <c r="C26" s="218"/>
      <c r="D26" s="211"/>
    </row>
    <row r="27" spans="2:10" x14ac:dyDescent="0.4">
      <c r="B27" s="217" t="s">
        <v>36</v>
      </c>
      <c r="F27" s="219">
        <f ca="1">TODAY()</f>
        <v>44215</v>
      </c>
      <c r="J27" s="220"/>
    </row>
    <row r="28" spans="2:10" x14ac:dyDescent="0.4">
      <c r="B28" s="205" t="s">
        <v>37</v>
      </c>
      <c r="F28" s="221">
        <v>13</v>
      </c>
    </row>
    <row r="29" spans="2:10" x14ac:dyDescent="0.4">
      <c r="B29" s="217" t="s">
        <v>38</v>
      </c>
      <c r="F29" s="222">
        <f ca="1">F27+(F28*365.25)</f>
        <v>48963.25</v>
      </c>
      <c r="H29" s="223"/>
    </row>
    <row r="31" spans="2:10" x14ac:dyDescent="0.4">
      <c r="B31" s="205" t="s">
        <v>39</v>
      </c>
      <c r="F31" s="224">
        <v>0.08</v>
      </c>
    </row>
    <row r="32" spans="2:10" x14ac:dyDescent="0.4">
      <c r="B32" s="205" t="s">
        <v>40</v>
      </c>
      <c r="F32" s="225">
        <v>0.2</v>
      </c>
    </row>
    <row r="33" spans="2:8" x14ac:dyDescent="0.4">
      <c r="B33" s="217" t="s">
        <v>41</v>
      </c>
      <c r="F33" s="220">
        <f>F31*(1-F32)</f>
        <v>6.4000000000000001E-2</v>
      </c>
      <c r="H33" s="223"/>
    </row>
    <row r="35" spans="2:8" x14ac:dyDescent="0.4">
      <c r="B35" s="217" t="s">
        <v>51</v>
      </c>
      <c r="F35" s="206">
        <v>132</v>
      </c>
    </row>
    <row r="36" spans="2:8" x14ac:dyDescent="0.4">
      <c r="B36" s="217" t="s">
        <v>52</v>
      </c>
      <c r="F36" s="206">
        <v>-8</v>
      </c>
    </row>
    <row r="37" spans="2:8" x14ac:dyDescent="0.4">
      <c r="B37" s="217" t="s">
        <v>53</v>
      </c>
      <c r="F37" s="206">
        <f>F35+F36</f>
        <v>124</v>
      </c>
    </row>
    <row r="38" spans="2:8" x14ac:dyDescent="0.4">
      <c r="F38" s="206"/>
    </row>
    <row r="39" spans="2:8" x14ac:dyDescent="0.4">
      <c r="B39" s="217" t="s">
        <v>42</v>
      </c>
      <c r="F39" s="206">
        <v>100</v>
      </c>
    </row>
    <row r="40" spans="2:8" x14ac:dyDescent="0.4">
      <c r="F40" s="206"/>
    </row>
    <row r="41" spans="2:8" x14ac:dyDescent="0.4">
      <c r="B41" s="217" t="s">
        <v>43</v>
      </c>
      <c r="F41" s="206">
        <v>2</v>
      </c>
    </row>
    <row r="43" spans="2:8" x14ac:dyDescent="0.4">
      <c r="H43" s="223"/>
    </row>
  </sheetData>
  <mergeCells count="1">
    <mergeCell ref="B23:F23"/>
  </mergeCells>
  <phoneticPr fontId="6" type="noConversion"/>
  <printOptions horizontalCentered="1"/>
  <pageMargins left="0.55118110236220474" right="0.55118110236220474" top="0.98425196850393704" bottom="0.98425196850393704" header="0.51181102362204722" footer="0.51181102362204722"/>
  <pageSetup paperSize="9" scale="6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I13"/>
  <sheetViews>
    <sheetView zoomScale="70" zoomScaleNormal="70" workbookViewId="0">
      <selection activeCell="K6" sqref="K6"/>
    </sheetView>
  </sheetViews>
  <sheetFormatPr defaultColWidth="9.08984375" defaultRowHeight="22.5" x14ac:dyDescent="0.45"/>
  <cols>
    <col min="1" max="1" width="9.08984375" style="2"/>
    <col min="2" max="2" width="47.453125" style="2" customWidth="1"/>
    <col min="3" max="3" width="23.08984375" style="2" customWidth="1"/>
    <col min="4" max="4" width="4.54296875" style="6" customWidth="1"/>
    <col min="5" max="5" width="25.54296875" style="2" customWidth="1"/>
    <col min="6" max="6" width="5.6328125" style="2" customWidth="1"/>
    <col min="7" max="7" width="24.54296875" style="2" customWidth="1"/>
    <col min="8" max="8" width="9.08984375" style="2"/>
    <col min="9" max="9" width="11.36328125" style="2" bestFit="1" customWidth="1"/>
    <col min="10" max="16384" width="9.08984375" style="2"/>
  </cols>
  <sheetData>
    <row r="2" spans="2:9" ht="23" x14ac:dyDescent="0.5">
      <c r="B2" s="39" t="s">
        <v>45</v>
      </c>
    </row>
    <row r="4" spans="2:9" ht="23" x14ac:dyDescent="0.5">
      <c r="B4" s="1" t="s">
        <v>1</v>
      </c>
    </row>
    <row r="5" spans="2:9" x14ac:dyDescent="0.45">
      <c r="G5" s="40" t="s">
        <v>4</v>
      </c>
    </row>
    <row r="6" spans="2:9" ht="90.75" customHeight="1" x14ac:dyDescent="0.55000000000000004">
      <c r="B6" s="1" t="s">
        <v>2</v>
      </c>
      <c r="C6" s="7" t="s">
        <v>44</v>
      </c>
      <c r="D6" s="8"/>
      <c r="E6" s="7" t="s">
        <v>3</v>
      </c>
      <c r="G6" s="41" t="s">
        <v>34</v>
      </c>
    </row>
    <row r="7" spans="2:9" ht="23" x14ac:dyDescent="0.5">
      <c r="B7" s="12"/>
      <c r="C7" s="13"/>
      <c r="D7" s="13"/>
      <c r="E7" s="13"/>
      <c r="F7" s="14"/>
      <c r="G7" s="15"/>
    </row>
    <row r="8" spans="2:9" x14ac:dyDescent="0.45">
      <c r="C8" s="3"/>
      <c r="D8" s="9"/>
      <c r="E8" s="3"/>
      <c r="G8" s="5"/>
    </row>
    <row r="9" spans="2:9" x14ac:dyDescent="0.45">
      <c r="B9" s="2" t="s">
        <v>21</v>
      </c>
      <c r="C9" s="37">
        <f>'Cost of Equity'!D12</f>
        <v>550</v>
      </c>
      <c r="D9" s="9"/>
      <c r="E9" s="42">
        <f>'Cost of Equity'!F22</f>
        <v>7.3080623728163735E-2</v>
      </c>
      <c r="F9" s="11"/>
      <c r="G9" s="10">
        <f>ROUND((C9/$C$13*E9),3)</f>
        <v>6.6000000000000003E-2</v>
      </c>
      <c r="I9" s="227"/>
    </row>
    <row r="10" spans="2:9" x14ac:dyDescent="0.45">
      <c r="C10" s="37"/>
      <c r="D10" s="9"/>
      <c r="E10" s="4"/>
      <c r="F10" s="11"/>
      <c r="G10" s="10"/>
    </row>
    <row r="11" spans="2:9" x14ac:dyDescent="0.45">
      <c r="B11" s="2" t="s">
        <v>22</v>
      </c>
      <c r="C11" s="28">
        <f>'Debt Capital'!F21</f>
        <v>62</v>
      </c>
      <c r="D11" s="9"/>
      <c r="E11" s="42">
        <f ca="1">'Debt Capital'!F25</f>
        <v>4.0126094301931599E-2</v>
      </c>
      <c r="F11" s="11"/>
      <c r="G11" s="10">
        <f ca="1">ROUND((C11/$C$13*E11),3)</f>
        <v>4.0000000000000001E-3</v>
      </c>
    </row>
    <row r="12" spans="2:9" x14ac:dyDescent="0.45">
      <c r="C12" s="37"/>
      <c r="D12" s="9"/>
      <c r="E12" s="4"/>
      <c r="F12" s="11"/>
      <c r="G12" s="10"/>
    </row>
    <row r="13" spans="2:9" s="26" customFormat="1" ht="42" customHeight="1" thickBot="1" x14ac:dyDescent="0.3">
      <c r="B13" s="27" t="s">
        <v>19</v>
      </c>
      <c r="C13" s="38">
        <f>SUM(C9:C11)</f>
        <v>612</v>
      </c>
      <c r="D13" s="25"/>
      <c r="E13" s="43" t="s">
        <v>20</v>
      </c>
      <c r="F13" s="44"/>
      <c r="G13" s="45">
        <f ca="1">SUM(G9:G11)</f>
        <v>7.0000000000000007E-2</v>
      </c>
    </row>
  </sheetData>
  <phoneticPr fontId="6" type="noConversion"/>
  <printOptions horizontalCentered="1"/>
  <pageMargins left="0.74803149606299213" right="0.74803149606299213" top="0.98425196850393704" bottom="0.98425196850393704" header="0.51181102362204722" footer="0.51181102362204722"/>
  <pageSetup paperSize="9" scale="62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N5"/>
  <sheetViews>
    <sheetView zoomScale="80" zoomScaleNormal="80" workbookViewId="0">
      <selection activeCell="B2" sqref="B2:D2"/>
    </sheetView>
  </sheetViews>
  <sheetFormatPr defaultColWidth="9.08984375" defaultRowHeight="17.5" x14ac:dyDescent="0.35"/>
  <cols>
    <col min="1" max="1" width="4.36328125" style="16" customWidth="1"/>
    <col min="2" max="2" width="10.90625" style="16" customWidth="1"/>
    <col min="3" max="3" width="16.54296875" style="16" customWidth="1"/>
    <col min="4" max="4" width="16.6328125" style="17" customWidth="1"/>
    <col min="5" max="5" width="15.36328125" style="16" customWidth="1"/>
    <col min="6" max="6" width="4.1796875" style="18" customWidth="1"/>
    <col min="7" max="8" width="17.54296875" style="16" customWidth="1"/>
    <col min="9" max="9" width="17.453125" style="16" customWidth="1"/>
    <col min="10" max="10" width="15.453125" style="16" customWidth="1"/>
    <col min="11" max="11" width="3.36328125" style="32" customWidth="1"/>
    <col min="12" max="12" width="18.453125" style="16" customWidth="1"/>
    <col min="13" max="13" width="14.36328125" style="16" customWidth="1"/>
    <col min="14" max="14" width="15.6328125" style="18" customWidth="1"/>
    <col min="15" max="16384" width="9.08984375" style="16"/>
  </cols>
  <sheetData>
    <row r="2" spans="2:14" ht="20" x14ac:dyDescent="0.4">
      <c r="B2" s="291" t="s">
        <v>54</v>
      </c>
      <c r="C2" s="292"/>
      <c r="D2" s="293"/>
    </row>
    <row r="4" spans="2:14" ht="96" customHeight="1" x14ac:dyDescent="0.35">
      <c r="B4" s="22" t="s">
        <v>5</v>
      </c>
      <c r="C4" s="20" t="s">
        <v>6</v>
      </c>
      <c r="D4" s="20" t="s">
        <v>160</v>
      </c>
      <c r="E4" s="20" t="s">
        <v>7</v>
      </c>
      <c r="F4" s="30"/>
      <c r="G4" s="20" t="s">
        <v>15</v>
      </c>
      <c r="H4" s="20" t="s">
        <v>16</v>
      </c>
      <c r="I4" s="20" t="s">
        <v>17</v>
      </c>
      <c r="J4" s="29" t="s">
        <v>10</v>
      </c>
      <c r="K4" s="33"/>
      <c r="L4" s="20" t="s">
        <v>18</v>
      </c>
      <c r="M4" s="20" t="s">
        <v>8</v>
      </c>
      <c r="N4" s="24" t="s">
        <v>14</v>
      </c>
    </row>
    <row r="5" spans="2:14" s="19" customFormat="1" ht="75" customHeight="1" x14ac:dyDescent="0.25">
      <c r="B5" s="24" t="s">
        <v>9</v>
      </c>
      <c r="C5" s="21" t="s">
        <v>55</v>
      </c>
      <c r="D5" s="226">
        <f>'Investment Appraisal'!I9/1000000</f>
        <v>2.7272727272727271</v>
      </c>
      <c r="E5" s="23" t="s">
        <v>13</v>
      </c>
      <c r="F5" s="31"/>
      <c r="G5" s="21" t="s">
        <v>11</v>
      </c>
      <c r="H5" s="21" t="s">
        <v>12</v>
      </c>
      <c r="I5" s="21" t="s">
        <v>12</v>
      </c>
      <c r="J5" s="36" t="s">
        <v>11</v>
      </c>
      <c r="K5" s="33"/>
      <c r="L5" s="35">
        <f ca="1">WACC!G13</f>
        <v>7.0000000000000007E-2</v>
      </c>
      <c r="M5" s="153">
        <f>'Investment Appraisal'!E81</f>
        <v>0.13793845559663209</v>
      </c>
      <c r="N5" s="34" t="s">
        <v>24</v>
      </c>
    </row>
  </sheetData>
  <printOptions horizontalCentered="1"/>
  <pageMargins left="0.35433070866141736" right="0.35433070866141736" top="0.98425196850393704" bottom="0.98425196850393704" header="0.51181102362204722" footer="0.51181102362204722"/>
  <pageSetup paperSize="9" scale="7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76454-5D72-4851-9E4E-974E95333ABE}">
  <dimension ref="A1:P114"/>
  <sheetViews>
    <sheetView showGridLines="0" tabSelected="1" topLeftCell="A79" zoomScale="90" zoomScaleNormal="90" workbookViewId="0">
      <selection activeCell="F81" sqref="F81"/>
    </sheetView>
  </sheetViews>
  <sheetFormatPr defaultColWidth="9.08984375" defaultRowHeight="14.5" x14ac:dyDescent="0.35"/>
  <cols>
    <col min="1" max="1" width="5.54296875" style="80" customWidth="1"/>
    <col min="2" max="2" width="24.6328125" style="94" customWidth="1"/>
    <col min="3" max="3" width="9.453125" style="94" customWidth="1"/>
    <col min="4" max="4" width="10.08984375" style="79" bestFit="1" customWidth="1"/>
    <col min="5" max="9" width="12.6328125" style="80" customWidth="1"/>
    <col min="10" max="10" width="10" style="80" customWidth="1"/>
    <col min="11" max="14" width="9.90625" style="80" bestFit="1" customWidth="1"/>
    <col min="15" max="15" width="10.6328125" style="80" customWidth="1"/>
    <col min="16" max="16" width="10.08984375" style="80" customWidth="1"/>
    <col min="17" max="16384" width="9.08984375" style="80"/>
  </cols>
  <sheetData>
    <row r="1" spans="2:10" ht="18.5" x14ac:dyDescent="0.45">
      <c r="B1" s="78"/>
      <c r="C1" s="78"/>
    </row>
    <row r="2" spans="2:10" ht="23" x14ac:dyDescent="0.5">
      <c r="B2" s="39" t="s">
        <v>45</v>
      </c>
      <c r="C2" s="81"/>
    </row>
    <row r="3" spans="2:10" ht="15.5" x14ac:dyDescent="0.35">
      <c r="B3" s="82" t="s">
        <v>54</v>
      </c>
      <c r="C3" s="82"/>
    </row>
    <row r="5" spans="2:10" ht="15" customHeight="1" x14ac:dyDescent="0.35">
      <c r="B5" s="83" t="s">
        <v>86</v>
      </c>
      <c r="C5" s="83"/>
      <c r="D5" s="84"/>
    </row>
    <row r="6" spans="2:10" ht="15" customHeight="1" x14ac:dyDescent="0.35">
      <c r="B6" s="80"/>
      <c r="C6" s="80"/>
    </row>
    <row r="7" spans="2:10" ht="15" customHeight="1" x14ac:dyDescent="0.35">
      <c r="B7" s="80" t="s">
        <v>87</v>
      </c>
      <c r="C7" s="80"/>
      <c r="E7" s="79">
        <v>10</v>
      </c>
      <c r="F7" s="80" t="s">
        <v>0</v>
      </c>
    </row>
    <row r="8" spans="2:10" ht="15" customHeight="1" x14ac:dyDescent="0.35">
      <c r="B8" s="80" t="s">
        <v>88</v>
      </c>
      <c r="C8" s="80"/>
      <c r="E8" s="85">
        <v>1.1000000000000001</v>
      </c>
      <c r="F8" s="86" t="s">
        <v>89</v>
      </c>
    </row>
    <row r="9" spans="2:10" ht="15" customHeight="1" x14ac:dyDescent="0.35">
      <c r="B9" s="80" t="s">
        <v>90</v>
      </c>
      <c r="C9" s="80"/>
      <c r="E9" s="87">
        <v>3000000</v>
      </c>
      <c r="F9" s="80" t="s">
        <v>91</v>
      </c>
      <c r="I9" s="253">
        <f>E9/E8</f>
        <v>2727272.7272727271</v>
      </c>
    </row>
    <row r="10" spans="2:10" ht="15" customHeight="1" x14ac:dyDescent="0.35">
      <c r="B10" s="80" t="s">
        <v>92</v>
      </c>
      <c r="C10" s="80"/>
      <c r="E10" s="87">
        <v>150000</v>
      </c>
      <c r="F10" s="80" t="s">
        <v>93</v>
      </c>
    </row>
    <row r="11" spans="2:10" ht="15" customHeight="1" x14ac:dyDescent="0.35">
      <c r="B11" s="80" t="s">
        <v>94</v>
      </c>
      <c r="C11" s="80"/>
      <c r="E11" s="87">
        <v>200000</v>
      </c>
      <c r="F11" s="80" t="s">
        <v>95</v>
      </c>
    </row>
    <row r="12" spans="2:10" s="88" customFormat="1" ht="15" customHeight="1" x14ac:dyDescent="0.35">
      <c r="B12" s="88" t="s">
        <v>96</v>
      </c>
      <c r="D12" s="89"/>
      <c r="E12" s="90">
        <v>0.2</v>
      </c>
      <c r="J12" s="91"/>
    </row>
    <row r="13" spans="2:10" s="88" customFormat="1" ht="15" customHeight="1" x14ac:dyDescent="0.35">
      <c r="D13" s="89"/>
      <c r="E13" s="90"/>
      <c r="J13" s="91"/>
    </row>
    <row r="14" spans="2:10" ht="15" customHeight="1" x14ac:dyDescent="0.35">
      <c r="B14" s="88" t="s">
        <v>97</v>
      </c>
      <c r="C14" s="88"/>
      <c r="E14" s="87">
        <v>15000</v>
      </c>
      <c r="F14" s="80" t="s">
        <v>98</v>
      </c>
      <c r="J14" s="92"/>
    </row>
    <row r="15" spans="2:10" ht="15" customHeight="1" x14ac:dyDescent="0.35">
      <c r="B15" s="80" t="s">
        <v>99</v>
      </c>
      <c r="C15" s="80"/>
      <c r="E15" s="87">
        <v>100</v>
      </c>
      <c r="J15" s="92"/>
    </row>
    <row r="16" spans="2:10" ht="15" customHeight="1" x14ac:dyDescent="0.35">
      <c r="B16" s="80" t="s">
        <v>100</v>
      </c>
      <c r="C16" s="80"/>
      <c r="E16" s="87">
        <f>E14*E15</f>
        <v>1500000</v>
      </c>
      <c r="F16" s="80" t="s">
        <v>101</v>
      </c>
    </row>
    <row r="17" spans="2:10" ht="15" customHeight="1" x14ac:dyDescent="0.35">
      <c r="B17" s="80"/>
      <c r="C17" s="80"/>
      <c r="E17" s="87"/>
    </row>
    <row r="18" spans="2:10" ht="15" customHeight="1" x14ac:dyDescent="0.35">
      <c r="B18" s="80" t="s">
        <v>102</v>
      </c>
      <c r="C18" s="80"/>
      <c r="E18" s="87">
        <v>50</v>
      </c>
    </row>
    <row r="19" spans="2:10" ht="15" customHeight="1" x14ac:dyDescent="0.35">
      <c r="B19" s="80" t="s">
        <v>103</v>
      </c>
      <c r="C19" s="80"/>
      <c r="E19" s="87">
        <f>E18*E14</f>
        <v>750000</v>
      </c>
      <c r="F19" s="80" t="s">
        <v>104</v>
      </c>
    </row>
    <row r="20" spans="2:10" ht="15" customHeight="1" x14ac:dyDescent="0.35">
      <c r="B20" s="80"/>
      <c r="C20" s="80"/>
      <c r="E20" s="87"/>
    </row>
    <row r="21" spans="2:10" ht="15" customHeight="1" x14ac:dyDescent="0.35">
      <c r="B21" s="80" t="s">
        <v>105</v>
      </c>
      <c r="C21" s="80"/>
      <c r="E21" s="87">
        <v>120000</v>
      </c>
      <c r="F21" s="80" t="s">
        <v>106</v>
      </c>
    </row>
    <row r="22" spans="2:10" ht="15" customHeight="1" x14ac:dyDescent="0.35">
      <c r="B22" s="80" t="s">
        <v>107</v>
      </c>
      <c r="C22" s="80"/>
      <c r="E22" s="87">
        <v>325000</v>
      </c>
      <c r="F22" s="80" t="s">
        <v>108</v>
      </c>
    </row>
    <row r="23" spans="2:10" ht="15" customHeight="1" x14ac:dyDescent="0.35">
      <c r="B23" s="80"/>
      <c r="C23" s="80"/>
      <c r="E23" s="87"/>
    </row>
    <row r="24" spans="2:10" ht="15" customHeight="1" x14ac:dyDescent="0.35">
      <c r="B24" s="80" t="s">
        <v>109</v>
      </c>
      <c r="C24" s="80"/>
      <c r="E24" s="93">
        <v>0.3</v>
      </c>
      <c r="J24" s="92"/>
    </row>
    <row r="25" spans="2:10" ht="15" customHeight="1" x14ac:dyDescent="0.35">
      <c r="B25" s="80" t="s">
        <v>110</v>
      </c>
      <c r="C25" s="80"/>
      <c r="E25" s="93">
        <v>0.2</v>
      </c>
      <c r="J25" s="92"/>
    </row>
    <row r="26" spans="2:10" ht="15" customHeight="1" x14ac:dyDescent="0.35">
      <c r="B26" s="94" t="s">
        <v>111</v>
      </c>
      <c r="E26" s="95">
        <v>7.0000000000000001E-3</v>
      </c>
      <c r="J26" s="92"/>
    </row>
    <row r="27" spans="2:10" ht="15" customHeight="1" x14ac:dyDescent="0.35">
      <c r="B27" s="94" t="s">
        <v>112</v>
      </c>
      <c r="E27" s="95">
        <v>1.0999999999999999E-2</v>
      </c>
      <c r="J27" s="92"/>
    </row>
    <row r="28" spans="2:10" ht="15" customHeight="1" x14ac:dyDescent="0.35">
      <c r="B28" s="94" t="s">
        <v>113</v>
      </c>
      <c r="E28" s="96">
        <v>7.0000000000000007E-2</v>
      </c>
      <c r="F28" s="80" t="s">
        <v>114</v>
      </c>
      <c r="H28" s="228" t="s">
        <v>191</v>
      </c>
      <c r="J28" s="92"/>
    </row>
    <row r="29" spans="2:10" ht="15" customHeight="1" x14ac:dyDescent="0.35">
      <c r="J29" s="92"/>
    </row>
    <row r="30" spans="2:10" ht="15" customHeight="1" x14ac:dyDescent="0.35">
      <c r="B30" s="97" t="s">
        <v>115</v>
      </c>
      <c r="J30" s="92"/>
    </row>
    <row r="31" spans="2:10" ht="15" customHeight="1" x14ac:dyDescent="0.35">
      <c r="B31" s="94" t="s">
        <v>116</v>
      </c>
      <c r="E31" s="87">
        <f>E9</f>
        <v>3000000</v>
      </c>
      <c r="J31" s="92"/>
    </row>
    <row r="32" spans="2:10" ht="15" customHeight="1" x14ac:dyDescent="0.35">
      <c r="B32" s="94" t="s">
        <v>117</v>
      </c>
      <c r="E32" s="98">
        <f>-E10</f>
        <v>-150000</v>
      </c>
      <c r="J32" s="92"/>
    </row>
    <row r="33" spans="2:16" ht="15" customHeight="1" x14ac:dyDescent="0.35">
      <c r="B33" s="94" t="s">
        <v>118</v>
      </c>
      <c r="E33" s="87">
        <f>SUM(E31:E32)</f>
        <v>2850000</v>
      </c>
      <c r="J33" s="92"/>
    </row>
    <row r="34" spans="2:16" ht="15" customHeight="1" x14ac:dyDescent="0.35">
      <c r="B34" s="94" t="s">
        <v>119</v>
      </c>
      <c r="E34" s="87">
        <v>10</v>
      </c>
      <c r="J34" s="92"/>
    </row>
    <row r="35" spans="2:16" ht="15" customHeight="1" thickBot="1" x14ac:dyDescent="0.4">
      <c r="B35" s="94" t="s">
        <v>120</v>
      </c>
      <c r="E35" s="99">
        <f>E33/E34</f>
        <v>285000</v>
      </c>
      <c r="J35" s="92"/>
    </row>
    <row r="36" spans="2:16" ht="15" customHeight="1" x14ac:dyDescent="0.35">
      <c r="J36" s="92"/>
    </row>
    <row r="37" spans="2:16" ht="15" customHeight="1" x14ac:dyDescent="0.35">
      <c r="B37" s="94" t="s">
        <v>121</v>
      </c>
      <c r="E37" s="87">
        <f>E22</f>
        <v>325000</v>
      </c>
      <c r="J37" s="92"/>
    </row>
    <row r="38" spans="2:16" ht="15" customHeight="1" x14ac:dyDescent="0.35">
      <c r="B38" s="94" t="s">
        <v>122</v>
      </c>
      <c r="E38" s="87">
        <f>-E35</f>
        <v>-285000</v>
      </c>
      <c r="J38" s="92"/>
    </row>
    <row r="39" spans="2:16" ht="15" customHeight="1" x14ac:dyDescent="0.35">
      <c r="B39" s="100" t="s">
        <v>123</v>
      </c>
      <c r="C39" s="100"/>
      <c r="E39" s="101">
        <f>SUM(E37:E38)</f>
        <v>40000</v>
      </c>
      <c r="J39" s="92"/>
    </row>
    <row r="40" spans="2:16" ht="15" customHeight="1" x14ac:dyDescent="0.35">
      <c r="B40" s="80"/>
      <c r="C40" s="80"/>
      <c r="D40" s="80"/>
      <c r="J40" s="92"/>
    </row>
    <row r="41" spans="2:16" ht="15" customHeight="1" x14ac:dyDescent="0.35">
      <c r="B41" s="80"/>
      <c r="C41" s="102"/>
      <c r="J41" s="92"/>
    </row>
    <row r="42" spans="2:16" ht="15" customHeight="1" x14ac:dyDescent="0.35">
      <c r="B42" s="102" t="s">
        <v>124</v>
      </c>
      <c r="J42" s="92"/>
    </row>
    <row r="43" spans="2:16" ht="15" customHeight="1" x14ac:dyDescent="0.35">
      <c r="B43" s="100" t="s">
        <v>125</v>
      </c>
      <c r="C43" s="100"/>
      <c r="D43" s="92"/>
      <c r="E43" s="92"/>
      <c r="F43" s="103">
        <v>1</v>
      </c>
      <c r="G43" s="103">
        <v>2</v>
      </c>
      <c r="H43" s="103">
        <v>3</v>
      </c>
      <c r="I43" s="103">
        <v>4</v>
      </c>
      <c r="J43" s="103">
        <v>5</v>
      </c>
      <c r="K43" s="103">
        <v>6</v>
      </c>
      <c r="L43" s="103">
        <v>7</v>
      </c>
      <c r="M43" s="103">
        <v>8</v>
      </c>
      <c r="N43" s="103">
        <v>9</v>
      </c>
      <c r="O43" s="103">
        <v>10</v>
      </c>
      <c r="P43" s="103"/>
    </row>
    <row r="44" spans="2:16" ht="15" customHeight="1" x14ac:dyDescent="0.35">
      <c r="B44" s="94" t="s">
        <v>126</v>
      </c>
      <c r="D44" s="92"/>
      <c r="E44" s="92"/>
      <c r="F44" s="104">
        <f>E9</f>
        <v>3000000</v>
      </c>
      <c r="G44" s="104">
        <f>F46</f>
        <v>2400000</v>
      </c>
      <c r="H44" s="104">
        <f t="shared" ref="H44:N44" si="0">G46</f>
        <v>1920000</v>
      </c>
      <c r="I44" s="104">
        <f t="shared" si="0"/>
        <v>1536000</v>
      </c>
      <c r="J44" s="104">
        <f t="shared" si="0"/>
        <v>1228800</v>
      </c>
      <c r="K44" s="104">
        <f t="shared" si="0"/>
        <v>983040</v>
      </c>
      <c r="L44" s="104">
        <f t="shared" si="0"/>
        <v>786432</v>
      </c>
      <c r="M44" s="104">
        <f t="shared" si="0"/>
        <v>629145.59999999998</v>
      </c>
      <c r="N44" s="104">
        <f t="shared" si="0"/>
        <v>503316.47999999998</v>
      </c>
      <c r="O44" s="104">
        <f>N46</f>
        <v>402653.18400000001</v>
      </c>
      <c r="P44" s="104"/>
    </row>
    <row r="45" spans="2:16" ht="15" customHeight="1" x14ac:dyDescent="0.35">
      <c r="B45" s="88" t="s">
        <v>127</v>
      </c>
      <c r="C45" s="88"/>
      <c r="D45" s="105">
        <f>E12</f>
        <v>0.2</v>
      </c>
      <c r="E45" s="92"/>
      <c r="F45" s="106">
        <f>F44*-$D$45</f>
        <v>-600000</v>
      </c>
      <c r="G45" s="106">
        <f>G44*-$D$45</f>
        <v>-480000</v>
      </c>
      <c r="H45" s="106">
        <f t="shared" ref="H45:N45" si="1">H44*-$D$45</f>
        <v>-384000</v>
      </c>
      <c r="I45" s="106">
        <f t="shared" si="1"/>
        <v>-307200</v>
      </c>
      <c r="J45" s="106">
        <f t="shared" si="1"/>
        <v>-245760</v>
      </c>
      <c r="K45" s="106">
        <f t="shared" si="1"/>
        <v>-196608</v>
      </c>
      <c r="L45" s="106">
        <f t="shared" si="1"/>
        <v>-157286.40000000002</v>
      </c>
      <c r="M45" s="106">
        <f t="shared" si="1"/>
        <v>-125829.12</v>
      </c>
      <c r="N45" s="106">
        <f t="shared" si="1"/>
        <v>-100663.296</v>
      </c>
      <c r="O45" s="106">
        <f>O46-O44</f>
        <v>-252653.18400000001</v>
      </c>
      <c r="P45" s="104"/>
    </row>
    <row r="46" spans="2:16" ht="15" customHeight="1" x14ac:dyDescent="0.35">
      <c r="B46" s="94" t="s">
        <v>128</v>
      </c>
      <c r="D46" s="92"/>
      <c r="E46" s="92"/>
      <c r="F46" s="104">
        <f>SUM(F44:F45)</f>
        <v>2400000</v>
      </c>
      <c r="G46" s="104">
        <f t="shared" ref="G46:N46" si="2">SUM(G44:G45)</f>
        <v>1920000</v>
      </c>
      <c r="H46" s="104">
        <f t="shared" si="2"/>
        <v>1536000</v>
      </c>
      <c r="I46" s="104">
        <f t="shared" si="2"/>
        <v>1228800</v>
      </c>
      <c r="J46" s="104">
        <f t="shared" si="2"/>
        <v>983040</v>
      </c>
      <c r="K46" s="104">
        <f t="shared" si="2"/>
        <v>786432</v>
      </c>
      <c r="L46" s="104">
        <f t="shared" si="2"/>
        <v>629145.59999999998</v>
      </c>
      <c r="M46" s="104">
        <f t="shared" si="2"/>
        <v>503316.47999999998</v>
      </c>
      <c r="N46" s="104">
        <f t="shared" si="2"/>
        <v>402653.18400000001</v>
      </c>
      <c r="O46" s="107">
        <f>E10</f>
        <v>150000</v>
      </c>
      <c r="P46" s="108" t="s">
        <v>129</v>
      </c>
    </row>
    <row r="47" spans="2:16" ht="15" customHeight="1" x14ac:dyDescent="0.35">
      <c r="D47" s="92"/>
      <c r="E47" s="92"/>
      <c r="F47" s="104"/>
      <c r="G47" s="104"/>
      <c r="H47" s="104"/>
      <c r="I47" s="104"/>
      <c r="J47" s="92"/>
    </row>
    <row r="48" spans="2:16" ht="15" customHeight="1" thickBot="1" x14ac:dyDescent="0.4">
      <c r="B48" s="100" t="s">
        <v>130</v>
      </c>
      <c r="C48" s="100"/>
      <c r="D48" s="105">
        <f>E24</f>
        <v>0.3</v>
      </c>
      <c r="E48" s="103" t="s">
        <v>131</v>
      </c>
      <c r="F48" s="109">
        <f>F45*-$D$48</f>
        <v>180000</v>
      </c>
      <c r="G48" s="109">
        <f t="shared" ref="G48:O48" si="3">G45*-$D$48</f>
        <v>144000</v>
      </c>
      <c r="H48" s="109">
        <f t="shared" si="3"/>
        <v>115200</v>
      </c>
      <c r="I48" s="109">
        <f t="shared" si="3"/>
        <v>92160</v>
      </c>
      <c r="J48" s="109">
        <f t="shared" si="3"/>
        <v>73728</v>
      </c>
      <c r="K48" s="109">
        <f t="shared" si="3"/>
        <v>58982.399999999994</v>
      </c>
      <c r="L48" s="109">
        <f t="shared" si="3"/>
        <v>47185.920000000006</v>
      </c>
      <c r="M48" s="109">
        <f t="shared" si="3"/>
        <v>37748.735999999997</v>
      </c>
      <c r="N48" s="109">
        <f t="shared" si="3"/>
        <v>30198.988799999999</v>
      </c>
      <c r="O48" s="109">
        <f t="shared" si="3"/>
        <v>75795.955199999997</v>
      </c>
    </row>
    <row r="49" spans="2:16" ht="15" customHeight="1" x14ac:dyDescent="0.35">
      <c r="D49" s="92"/>
      <c r="E49" s="92"/>
      <c r="F49" s="92"/>
      <c r="G49" s="92"/>
      <c r="H49" s="92"/>
      <c r="I49" s="92"/>
      <c r="J49" s="92"/>
    </row>
    <row r="50" spans="2:16" ht="15" customHeight="1" x14ac:dyDescent="0.35">
      <c r="D50" s="92"/>
      <c r="E50" s="92"/>
      <c r="F50" s="92"/>
      <c r="G50" s="92"/>
      <c r="H50" s="92"/>
      <c r="I50" s="92"/>
      <c r="J50" s="92"/>
    </row>
    <row r="51" spans="2:16" ht="15" customHeight="1" x14ac:dyDescent="0.35">
      <c r="B51" s="110" t="s">
        <v>132</v>
      </c>
      <c r="C51" s="110"/>
      <c r="D51" s="111"/>
      <c r="E51" s="92"/>
      <c r="F51" s="92"/>
      <c r="G51" s="92"/>
      <c r="H51" s="92"/>
      <c r="I51" s="92"/>
      <c r="J51" s="92"/>
    </row>
    <row r="52" spans="2:16" ht="15" customHeight="1" x14ac:dyDescent="0.35">
      <c r="D52" s="92"/>
      <c r="E52" s="92"/>
      <c r="F52" s="92"/>
      <c r="G52" s="92"/>
      <c r="H52" s="92"/>
      <c r="I52" s="92"/>
      <c r="J52" s="92"/>
    </row>
    <row r="53" spans="2:16" ht="15" customHeight="1" x14ac:dyDescent="0.35">
      <c r="B53" s="100" t="s">
        <v>125</v>
      </c>
      <c r="C53" s="100"/>
      <c r="D53" s="92"/>
      <c r="E53" s="103">
        <v>0</v>
      </c>
      <c r="F53" s="103">
        <v>1</v>
      </c>
      <c r="G53" s="103">
        <v>2</v>
      </c>
      <c r="H53" s="103">
        <v>3</v>
      </c>
      <c r="I53" s="103">
        <v>4</v>
      </c>
      <c r="J53" s="103">
        <v>5</v>
      </c>
      <c r="K53" s="103">
        <v>6</v>
      </c>
      <c r="L53" s="103">
        <v>7</v>
      </c>
      <c r="M53" s="103">
        <v>8</v>
      </c>
      <c r="N53" s="103">
        <v>9</v>
      </c>
      <c r="O53" s="103">
        <v>10</v>
      </c>
      <c r="P53" s="103">
        <v>11</v>
      </c>
    </row>
    <row r="54" spans="2:16" x14ac:dyDescent="0.35">
      <c r="D54" s="92"/>
      <c r="E54" s="92"/>
      <c r="F54" s="92"/>
      <c r="G54" s="92"/>
      <c r="H54" s="92"/>
      <c r="I54" s="92"/>
    </row>
    <row r="55" spans="2:16" x14ac:dyDescent="0.35">
      <c r="B55" s="94" t="s">
        <v>133</v>
      </c>
      <c r="D55" s="92"/>
      <c r="E55" s="112">
        <f>-E9</f>
        <v>-3000000</v>
      </c>
      <c r="F55" s="112"/>
      <c r="G55" s="112"/>
      <c r="H55" s="112"/>
      <c r="I55" s="112"/>
      <c r="O55" s="112">
        <f>E10</f>
        <v>150000</v>
      </c>
    </row>
    <row r="56" spans="2:16" x14ac:dyDescent="0.35">
      <c r="B56" s="94" t="s">
        <v>134</v>
      </c>
      <c r="D56" s="92"/>
      <c r="E56" s="112"/>
      <c r="F56" s="112"/>
      <c r="G56" s="112">
        <f>F48</f>
        <v>180000</v>
      </c>
      <c r="H56" s="112">
        <f>G48</f>
        <v>144000</v>
      </c>
      <c r="I56" s="112">
        <f>H48</f>
        <v>115200</v>
      </c>
      <c r="J56" s="112">
        <f>I48</f>
        <v>92160</v>
      </c>
      <c r="K56" s="112">
        <f>J48</f>
        <v>73728</v>
      </c>
      <c r="L56" s="112">
        <f t="shared" ref="L56:P56" si="4">K48</f>
        <v>58982.399999999994</v>
      </c>
      <c r="M56" s="112">
        <f t="shared" si="4"/>
        <v>47185.920000000006</v>
      </c>
      <c r="N56" s="112">
        <f t="shared" si="4"/>
        <v>37748.735999999997</v>
      </c>
      <c r="O56" s="112">
        <f t="shared" si="4"/>
        <v>30198.988799999999</v>
      </c>
      <c r="P56" s="112">
        <f t="shared" si="4"/>
        <v>75795.955199999997</v>
      </c>
    </row>
    <row r="57" spans="2:16" x14ac:dyDescent="0.35">
      <c r="B57" s="94" t="s">
        <v>135</v>
      </c>
      <c r="C57" s="113" t="s">
        <v>136</v>
      </c>
      <c r="D57" s="114">
        <v>7.0000000000000001E-3</v>
      </c>
      <c r="E57" s="112">
        <f>-E11</f>
        <v>-200000</v>
      </c>
      <c r="F57" s="112"/>
      <c r="G57" s="112"/>
      <c r="H57" s="112"/>
      <c r="I57" s="112"/>
      <c r="J57" s="112"/>
      <c r="K57" s="112"/>
      <c r="L57" s="112"/>
      <c r="M57" s="112"/>
      <c r="N57" s="112"/>
      <c r="O57" s="112">
        <f>-E57*((1+D57)^10)</f>
        <v>214449.33369403362</v>
      </c>
      <c r="P57" s="112"/>
    </row>
    <row r="58" spans="2:16" x14ac:dyDescent="0.35">
      <c r="D58" s="115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</row>
    <row r="59" spans="2:16" x14ac:dyDescent="0.35">
      <c r="B59" s="100" t="s">
        <v>137</v>
      </c>
      <c r="C59" s="100"/>
      <c r="D59" s="92"/>
      <c r="E59" s="116">
        <f>SUM(E55:E58)</f>
        <v>-3200000</v>
      </c>
      <c r="F59" s="116">
        <f t="shared" ref="F59:P59" si="5">SUM(F55:F58)</f>
        <v>0</v>
      </c>
      <c r="G59" s="116">
        <f t="shared" si="5"/>
        <v>180000</v>
      </c>
      <c r="H59" s="116">
        <f t="shared" si="5"/>
        <v>144000</v>
      </c>
      <c r="I59" s="116">
        <f t="shared" si="5"/>
        <v>115200</v>
      </c>
      <c r="J59" s="116">
        <f t="shared" si="5"/>
        <v>92160</v>
      </c>
      <c r="K59" s="116">
        <f t="shared" si="5"/>
        <v>73728</v>
      </c>
      <c r="L59" s="116">
        <f t="shared" si="5"/>
        <v>58982.399999999994</v>
      </c>
      <c r="M59" s="116">
        <f t="shared" si="5"/>
        <v>47185.920000000006</v>
      </c>
      <c r="N59" s="116">
        <f t="shared" si="5"/>
        <v>37748.735999999997</v>
      </c>
      <c r="O59" s="116">
        <f>SUM(O55:O58)</f>
        <v>394648.32249403361</v>
      </c>
      <c r="P59" s="116">
        <f t="shared" si="5"/>
        <v>75795.955199999997</v>
      </c>
    </row>
    <row r="60" spans="2:16" x14ac:dyDescent="0.35">
      <c r="D60" s="92"/>
      <c r="E60" s="112"/>
      <c r="F60" s="112"/>
      <c r="G60" s="112"/>
      <c r="H60" s="112"/>
      <c r="I60" s="112"/>
    </row>
    <row r="61" spans="2:16" x14ac:dyDescent="0.35">
      <c r="B61" s="94" t="s">
        <v>138</v>
      </c>
      <c r="D61" s="117">
        <v>0.01</v>
      </c>
      <c r="E61" s="112"/>
      <c r="F61" s="112">
        <f>$E$16*((1+$D$61)^F53)</f>
        <v>1515000</v>
      </c>
      <c r="G61" s="112">
        <f t="shared" ref="G61:O61" si="6">$E$16*((1+$D$61)^G53)</f>
        <v>1530150</v>
      </c>
      <c r="H61" s="112">
        <f t="shared" si="6"/>
        <v>1545451.4999999998</v>
      </c>
      <c r="I61" s="112">
        <f t="shared" si="6"/>
        <v>1560906.0150000001</v>
      </c>
      <c r="J61" s="112">
        <f t="shared" si="6"/>
        <v>1576515.0751499999</v>
      </c>
      <c r="K61" s="112">
        <f t="shared" si="6"/>
        <v>1592280.2259015001</v>
      </c>
      <c r="L61" s="112">
        <f t="shared" si="6"/>
        <v>1608203.0281605148</v>
      </c>
      <c r="M61" s="112">
        <f t="shared" si="6"/>
        <v>1624285.0584421204</v>
      </c>
      <c r="N61" s="112">
        <f t="shared" si="6"/>
        <v>1640527.9090265417</v>
      </c>
      <c r="O61" s="112">
        <f t="shared" si="6"/>
        <v>1656933.188116807</v>
      </c>
    </row>
    <row r="62" spans="2:16" x14ac:dyDescent="0.35">
      <c r="B62" s="94" t="s">
        <v>139</v>
      </c>
      <c r="D62" s="117">
        <v>-0.01</v>
      </c>
      <c r="E62" s="112"/>
      <c r="F62" s="112">
        <f t="shared" ref="F62:O62" si="7">-$E$19*((1+$D$62)^F53)</f>
        <v>-742500</v>
      </c>
      <c r="G62" s="112">
        <f t="shared" si="7"/>
        <v>-735075</v>
      </c>
      <c r="H62" s="112">
        <f t="shared" si="7"/>
        <v>-727724.24999999988</v>
      </c>
      <c r="I62" s="112">
        <f t="shared" si="7"/>
        <v>-720447.00749999995</v>
      </c>
      <c r="J62" s="112">
        <f t="shared" si="7"/>
        <v>-713242.53742499999</v>
      </c>
      <c r="K62" s="112">
        <f t="shared" si="7"/>
        <v>-706110.11205074994</v>
      </c>
      <c r="L62" s="112">
        <f t="shared" si="7"/>
        <v>-699049.01093024248</v>
      </c>
      <c r="M62" s="112">
        <f t="shared" si="7"/>
        <v>-692058.52082093991</v>
      </c>
      <c r="N62" s="112">
        <f t="shared" si="7"/>
        <v>-685137.93561273057</v>
      </c>
      <c r="O62" s="112">
        <f t="shared" si="7"/>
        <v>-678286.55625660322</v>
      </c>
    </row>
    <row r="63" spans="2:16" x14ac:dyDescent="0.35">
      <c r="B63" s="94" t="s">
        <v>140</v>
      </c>
      <c r="D63" s="117">
        <v>0.02</v>
      </c>
      <c r="E63" s="112"/>
      <c r="F63" s="112">
        <f t="shared" ref="F63:O63" si="8">-$E$21*((1+$D$63)^F53)</f>
        <v>-122400</v>
      </c>
      <c r="G63" s="112">
        <f t="shared" si="8"/>
        <v>-124848</v>
      </c>
      <c r="H63" s="112">
        <f t="shared" si="8"/>
        <v>-127344.95999999999</v>
      </c>
      <c r="I63" s="112">
        <f t="shared" si="8"/>
        <v>-129891.85919999999</v>
      </c>
      <c r="J63" s="112">
        <f t="shared" si="8"/>
        <v>-132489.69638400001</v>
      </c>
      <c r="K63" s="112">
        <f t="shared" si="8"/>
        <v>-135139.49031168001</v>
      </c>
      <c r="L63" s="112">
        <f t="shared" si="8"/>
        <v>-137842.28011791359</v>
      </c>
      <c r="M63" s="112">
        <f t="shared" si="8"/>
        <v>-140599.12572027187</v>
      </c>
      <c r="N63" s="112">
        <f t="shared" si="8"/>
        <v>-143411.10823467729</v>
      </c>
      <c r="O63" s="112">
        <f t="shared" si="8"/>
        <v>-146279.33039937084</v>
      </c>
    </row>
    <row r="64" spans="2:16" x14ac:dyDescent="0.35">
      <c r="B64" s="94" t="s">
        <v>141</v>
      </c>
      <c r="D64" s="118"/>
      <c r="E64" s="112"/>
      <c r="F64" s="112">
        <f>-$E$39</f>
        <v>-40000</v>
      </c>
      <c r="G64" s="112">
        <f t="shared" ref="G64:O64" si="9">-$E$39</f>
        <v>-40000</v>
      </c>
      <c r="H64" s="112">
        <f t="shared" si="9"/>
        <v>-40000</v>
      </c>
      <c r="I64" s="112">
        <f t="shared" si="9"/>
        <v>-40000</v>
      </c>
      <c r="J64" s="112">
        <f t="shared" si="9"/>
        <v>-40000</v>
      </c>
      <c r="K64" s="112">
        <f t="shared" si="9"/>
        <v>-40000</v>
      </c>
      <c r="L64" s="112">
        <f t="shared" si="9"/>
        <v>-40000</v>
      </c>
      <c r="M64" s="112">
        <f t="shared" si="9"/>
        <v>-40000</v>
      </c>
      <c r="N64" s="112">
        <f t="shared" si="9"/>
        <v>-40000</v>
      </c>
      <c r="O64" s="112">
        <f t="shared" si="9"/>
        <v>-40000</v>
      </c>
    </row>
    <row r="65" spans="2:16" x14ac:dyDescent="0.35">
      <c r="B65" s="94" t="s">
        <v>142</v>
      </c>
      <c r="D65" s="92"/>
      <c r="E65" s="119"/>
      <c r="F65" s="119">
        <f>SUM(F61:F64)</f>
        <v>610100</v>
      </c>
      <c r="G65" s="119">
        <f t="shared" ref="G65:O65" si="10">SUM(G61:G64)</f>
        <v>630227</v>
      </c>
      <c r="H65" s="119">
        <f t="shared" si="10"/>
        <v>650382.28999999992</v>
      </c>
      <c r="I65" s="119">
        <f t="shared" si="10"/>
        <v>670567.14830000023</v>
      </c>
      <c r="J65" s="119">
        <f t="shared" si="10"/>
        <v>690782.84134099993</v>
      </c>
      <c r="K65" s="119">
        <f t="shared" si="10"/>
        <v>711030.62353907013</v>
      </c>
      <c r="L65" s="119">
        <f t="shared" si="10"/>
        <v>731311.73711235868</v>
      </c>
      <c r="M65" s="119">
        <f t="shared" si="10"/>
        <v>751627.41190090869</v>
      </c>
      <c r="N65" s="119">
        <f t="shared" si="10"/>
        <v>771978.86517913383</v>
      </c>
      <c r="O65" s="119">
        <f t="shared" si="10"/>
        <v>792367.30146083294</v>
      </c>
      <c r="P65" s="120"/>
    </row>
    <row r="66" spans="2:16" x14ac:dyDescent="0.35">
      <c r="B66" s="94" t="s">
        <v>143</v>
      </c>
      <c r="D66" s="121">
        <f>MAX(E24:E25)</f>
        <v>0.3</v>
      </c>
      <c r="E66" s="112"/>
      <c r="F66" s="112"/>
      <c r="G66" s="112">
        <f>F65*-$D$66</f>
        <v>-183030</v>
      </c>
      <c r="H66" s="112">
        <f t="shared" ref="H66:O66" si="11">G65*-$D$66</f>
        <v>-189068.1</v>
      </c>
      <c r="I66" s="112">
        <f t="shared" si="11"/>
        <v>-195114.68699999998</v>
      </c>
      <c r="J66" s="112">
        <f t="shared" si="11"/>
        <v>-201170.14449000006</v>
      </c>
      <c r="K66" s="112">
        <f t="shared" si="11"/>
        <v>-207234.85240229996</v>
      </c>
      <c r="L66" s="112">
        <f t="shared" si="11"/>
        <v>-213309.18706172102</v>
      </c>
      <c r="M66" s="112">
        <f t="shared" si="11"/>
        <v>-219393.5211337076</v>
      </c>
      <c r="N66" s="112">
        <f t="shared" si="11"/>
        <v>-225488.22357027259</v>
      </c>
      <c r="O66" s="112">
        <f t="shared" si="11"/>
        <v>-231593.65955374014</v>
      </c>
      <c r="P66" s="112">
        <f>O65*-$D$66</f>
        <v>-237710.19043824988</v>
      </c>
    </row>
    <row r="67" spans="2:16" x14ac:dyDescent="0.35">
      <c r="B67" s="100" t="s">
        <v>144</v>
      </c>
      <c r="C67" s="100"/>
      <c r="D67" s="92"/>
      <c r="E67" s="119"/>
      <c r="F67" s="116">
        <f>SUM(F65:F66)</f>
        <v>610100</v>
      </c>
      <c r="G67" s="116">
        <f t="shared" ref="G67:P67" si="12">SUM(G65:G66)</f>
        <v>447197</v>
      </c>
      <c r="H67" s="116">
        <f t="shared" si="12"/>
        <v>461314.18999999994</v>
      </c>
      <c r="I67" s="116">
        <f t="shared" si="12"/>
        <v>475452.46130000026</v>
      </c>
      <c r="J67" s="116">
        <f t="shared" si="12"/>
        <v>489612.69685099984</v>
      </c>
      <c r="K67" s="116">
        <f t="shared" si="12"/>
        <v>503795.77113677014</v>
      </c>
      <c r="L67" s="116">
        <f t="shared" si="12"/>
        <v>518002.55005063768</v>
      </c>
      <c r="M67" s="116">
        <f t="shared" si="12"/>
        <v>532233.89076720108</v>
      </c>
      <c r="N67" s="116">
        <f t="shared" si="12"/>
        <v>546490.64160886128</v>
      </c>
      <c r="O67" s="116">
        <f t="shared" si="12"/>
        <v>560773.64190709277</v>
      </c>
      <c r="P67" s="116">
        <f t="shared" si="12"/>
        <v>-237710.19043824988</v>
      </c>
    </row>
    <row r="68" spans="2:16" x14ac:dyDescent="0.35">
      <c r="D68" s="92"/>
      <c r="E68" s="112"/>
      <c r="F68" s="112"/>
      <c r="G68" s="112"/>
      <c r="H68" s="112"/>
      <c r="I68" s="112"/>
    </row>
    <row r="69" spans="2:16" ht="15" thickBot="1" x14ac:dyDescent="0.4">
      <c r="B69" s="100" t="s">
        <v>145</v>
      </c>
      <c r="C69" s="100"/>
      <c r="D69" s="92"/>
      <c r="E69" s="122">
        <f>E59+E67</f>
        <v>-3200000</v>
      </c>
      <c r="F69" s="122">
        <f>F59+F67</f>
        <v>610100</v>
      </c>
      <c r="G69" s="122">
        <f>G59+G67</f>
        <v>627197</v>
      </c>
      <c r="H69" s="122">
        <f t="shared" ref="H69:O69" si="13">H59+H67</f>
        <v>605314.18999999994</v>
      </c>
      <c r="I69" s="122">
        <f t="shared" si="13"/>
        <v>590652.46130000032</v>
      </c>
      <c r="J69" s="122">
        <f t="shared" si="13"/>
        <v>581772.69685099984</v>
      </c>
      <c r="K69" s="122">
        <f t="shared" si="13"/>
        <v>577523.77113677014</v>
      </c>
      <c r="L69" s="122">
        <f t="shared" si="13"/>
        <v>576984.95005063771</v>
      </c>
      <c r="M69" s="122">
        <f t="shared" si="13"/>
        <v>579419.81076720112</v>
      </c>
      <c r="N69" s="122">
        <f t="shared" si="13"/>
        <v>584239.37760886131</v>
      </c>
      <c r="O69" s="122">
        <f t="shared" si="13"/>
        <v>955421.96440112637</v>
      </c>
      <c r="P69" s="122">
        <f>P59+P67</f>
        <v>-161914.23523824988</v>
      </c>
    </row>
    <row r="70" spans="2:16" x14ac:dyDescent="0.35">
      <c r="D70" s="92"/>
      <c r="E70" s="112"/>
      <c r="F70" s="112"/>
      <c r="G70" s="112"/>
      <c r="H70" s="112"/>
      <c r="I70" s="112"/>
    </row>
    <row r="71" spans="2:16" x14ac:dyDescent="0.35">
      <c r="B71" s="94" t="s">
        <v>146</v>
      </c>
      <c r="D71" s="92"/>
      <c r="E71" s="123">
        <f>$E$8</f>
        <v>1.1000000000000001</v>
      </c>
      <c r="F71" s="123">
        <f t="shared" ref="F71:P71" si="14">$E$8</f>
        <v>1.1000000000000001</v>
      </c>
      <c r="G71" s="123">
        <f t="shared" si="14"/>
        <v>1.1000000000000001</v>
      </c>
      <c r="H71" s="123">
        <f t="shared" si="14"/>
        <v>1.1000000000000001</v>
      </c>
      <c r="I71" s="123">
        <f t="shared" si="14"/>
        <v>1.1000000000000001</v>
      </c>
      <c r="J71" s="123">
        <f t="shared" si="14"/>
        <v>1.1000000000000001</v>
      </c>
      <c r="K71" s="123">
        <f t="shared" si="14"/>
        <v>1.1000000000000001</v>
      </c>
      <c r="L71" s="123">
        <f t="shared" si="14"/>
        <v>1.1000000000000001</v>
      </c>
      <c r="M71" s="123">
        <f t="shared" si="14"/>
        <v>1.1000000000000001</v>
      </c>
      <c r="N71" s="123">
        <f t="shared" si="14"/>
        <v>1.1000000000000001</v>
      </c>
      <c r="O71" s="123">
        <f t="shared" si="14"/>
        <v>1.1000000000000001</v>
      </c>
      <c r="P71" s="123">
        <f t="shared" si="14"/>
        <v>1.1000000000000001</v>
      </c>
    </row>
    <row r="72" spans="2:16" x14ac:dyDescent="0.35">
      <c r="B72" s="100" t="s">
        <v>147</v>
      </c>
      <c r="C72" s="100"/>
      <c r="D72" s="124"/>
      <c r="E72" s="125">
        <f>E69/E71</f>
        <v>-2909090.9090909087</v>
      </c>
      <c r="F72" s="125">
        <f t="shared" ref="F72:P72" si="15">F69/F71</f>
        <v>554636.36363636365</v>
      </c>
      <c r="G72" s="125">
        <f t="shared" si="15"/>
        <v>570179.09090909082</v>
      </c>
      <c r="H72" s="125">
        <f t="shared" si="15"/>
        <v>550285.6272727272</v>
      </c>
      <c r="I72" s="125">
        <f t="shared" si="15"/>
        <v>536956.78300000029</v>
      </c>
      <c r="J72" s="125">
        <f t="shared" si="15"/>
        <v>528884.26986454532</v>
      </c>
      <c r="K72" s="125">
        <f t="shared" si="15"/>
        <v>525021.61012433644</v>
      </c>
      <c r="L72" s="125">
        <f t="shared" si="15"/>
        <v>524531.77277330693</v>
      </c>
      <c r="M72" s="125">
        <f t="shared" si="15"/>
        <v>526745.28251563734</v>
      </c>
      <c r="N72" s="125">
        <f t="shared" si="15"/>
        <v>531126.70691714657</v>
      </c>
      <c r="O72" s="125">
        <f t="shared" si="15"/>
        <v>868565.42218284204</v>
      </c>
      <c r="P72" s="125">
        <f t="shared" si="15"/>
        <v>-147194.75930749989</v>
      </c>
    </row>
    <row r="73" spans="2:16" x14ac:dyDescent="0.35">
      <c r="B73" s="100"/>
      <c r="C73" s="100"/>
      <c r="D73" s="124"/>
      <c r="E73" s="125"/>
      <c r="F73" s="125"/>
      <c r="G73" s="125"/>
      <c r="H73" s="125"/>
      <c r="I73" s="125"/>
    </row>
    <row r="74" spans="2:16" x14ac:dyDescent="0.35">
      <c r="B74" s="94" t="s">
        <v>148</v>
      </c>
      <c r="D74" s="126">
        <f>E28</f>
        <v>7.0000000000000007E-2</v>
      </c>
      <c r="E74" s="127">
        <f>ROUND(1/((1+$D$74)^E53),3)</f>
        <v>1</v>
      </c>
      <c r="F74" s="127">
        <f t="shared" ref="F74:P74" si="16">ROUND(1/((1+$D$74)^F53),3)</f>
        <v>0.93500000000000005</v>
      </c>
      <c r="G74" s="127">
        <f t="shared" si="16"/>
        <v>0.873</v>
      </c>
      <c r="H74" s="127">
        <f t="shared" si="16"/>
        <v>0.81599999999999995</v>
      </c>
      <c r="I74" s="127">
        <f t="shared" si="16"/>
        <v>0.76300000000000001</v>
      </c>
      <c r="J74" s="127">
        <f t="shared" si="16"/>
        <v>0.71299999999999997</v>
      </c>
      <c r="K74" s="127">
        <f t="shared" si="16"/>
        <v>0.66600000000000004</v>
      </c>
      <c r="L74" s="127">
        <f t="shared" si="16"/>
        <v>0.623</v>
      </c>
      <c r="M74" s="127">
        <f t="shared" si="16"/>
        <v>0.58199999999999996</v>
      </c>
      <c r="N74" s="127">
        <f t="shared" si="16"/>
        <v>0.54400000000000004</v>
      </c>
      <c r="O74" s="127">
        <f t="shared" si="16"/>
        <v>0.50800000000000001</v>
      </c>
      <c r="P74" s="127">
        <f t="shared" si="16"/>
        <v>0.47499999999999998</v>
      </c>
    </row>
    <row r="75" spans="2:16" ht="15" thickBot="1" x14ac:dyDescent="0.4">
      <c r="B75" s="100" t="s">
        <v>149</v>
      </c>
      <c r="C75" s="100"/>
      <c r="D75" s="92"/>
      <c r="E75" s="122">
        <f>ROUND((E72*E74),0)</f>
        <v>-2909091</v>
      </c>
      <c r="F75" s="122">
        <f t="shared" ref="F75:P75" si="17">ROUND((F72*F74),0)</f>
        <v>518585</v>
      </c>
      <c r="G75" s="122">
        <f t="shared" si="17"/>
        <v>497766</v>
      </c>
      <c r="H75" s="122">
        <f t="shared" si="17"/>
        <v>449033</v>
      </c>
      <c r="I75" s="122">
        <f t="shared" si="17"/>
        <v>409698</v>
      </c>
      <c r="J75" s="122">
        <f t="shared" si="17"/>
        <v>377094</v>
      </c>
      <c r="K75" s="122">
        <f t="shared" si="17"/>
        <v>349664</v>
      </c>
      <c r="L75" s="122">
        <f t="shared" si="17"/>
        <v>326783</v>
      </c>
      <c r="M75" s="122">
        <f t="shared" si="17"/>
        <v>306566</v>
      </c>
      <c r="N75" s="122">
        <f t="shared" si="17"/>
        <v>288933</v>
      </c>
      <c r="O75" s="122">
        <f t="shared" si="17"/>
        <v>441231</v>
      </c>
      <c r="P75" s="122">
        <f t="shared" si="17"/>
        <v>-69918</v>
      </c>
    </row>
    <row r="76" spans="2:16" x14ac:dyDescent="0.35">
      <c r="D76" s="92"/>
      <c r="E76" s="112"/>
      <c r="F76" s="112"/>
      <c r="G76" s="112"/>
      <c r="H76" s="112"/>
      <c r="I76" s="112"/>
    </row>
    <row r="77" spans="2:16" ht="15.5" x14ac:dyDescent="0.35">
      <c r="B77" s="128" t="s">
        <v>150</v>
      </c>
      <c r="C77" s="128"/>
      <c r="D77" s="129"/>
      <c r="E77" s="130">
        <f>SUM(E75:P75)</f>
        <v>986344</v>
      </c>
      <c r="F77" s="131" t="s">
        <v>151</v>
      </c>
      <c r="H77" s="112"/>
      <c r="I77" s="112"/>
    </row>
    <row r="78" spans="2:16" x14ac:dyDescent="0.35">
      <c r="D78" s="92"/>
      <c r="E78" s="92"/>
      <c r="F78" s="92"/>
      <c r="G78" s="92"/>
      <c r="H78" s="92"/>
      <c r="I78" s="92"/>
    </row>
    <row r="79" spans="2:16" ht="15.5" x14ac:dyDescent="0.35">
      <c r="B79" s="97" t="s">
        <v>152</v>
      </c>
      <c r="C79" s="97"/>
    </row>
    <row r="81" spans="1:15" ht="15.5" x14ac:dyDescent="0.35">
      <c r="B81" s="128" t="s">
        <v>153</v>
      </c>
      <c r="C81" s="128"/>
      <c r="D81" s="132"/>
      <c r="E81" s="133">
        <f>IRR(E72:P72)</f>
        <v>0.13793845559663209</v>
      </c>
      <c r="F81" s="134" t="s">
        <v>154</v>
      </c>
      <c r="G81" s="135"/>
      <c r="H81" s="136"/>
      <c r="I81" s="137"/>
    </row>
    <row r="82" spans="1:15" ht="15.5" x14ac:dyDescent="0.35">
      <c r="B82" s="185"/>
      <c r="E82" s="186"/>
      <c r="F82" s="131" t="s">
        <v>151</v>
      </c>
    </row>
    <row r="83" spans="1:15" ht="15.5" x14ac:dyDescent="0.35">
      <c r="B83" s="185"/>
      <c r="E83" s="186"/>
      <c r="F83" s="131"/>
    </row>
    <row r="84" spans="1:15" x14ac:dyDescent="0.35">
      <c r="A84" s="250" t="s">
        <v>194</v>
      </c>
      <c r="B84" s="229" t="s">
        <v>125</v>
      </c>
      <c r="C84" s="230"/>
      <c r="D84" s="231">
        <v>0</v>
      </c>
      <c r="E84" s="231">
        <v>1</v>
      </c>
      <c r="F84" s="231">
        <v>2</v>
      </c>
      <c r="G84" s="231">
        <v>3</v>
      </c>
      <c r="H84" s="231">
        <v>4</v>
      </c>
      <c r="I84" s="231">
        <f>H84+1</f>
        <v>5</v>
      </c>
      <c r="J84" s="231">
        <f t="shared" ref="J84:O84" si="18">I84+1</f>
        <v>6</v>
      </c>
      <c r="K84" s="231">
        <f t="shared" si="18"/>
        <v>7</v>
      </c>
      <c r="L84" s="231">
        <f t="shared" si="18"/>
        <v>8</v>
      </c>
      <c r="M84" s="231">
        <f t="shared" si="18"/>
        <v>9</v>
      </c>
      <c r="N84" s="231">
        <f t="shared" si="18"/>
        <v>10</v>
      </c>
      <c r="O84" s="231">
        <f t="shared" si="18"/>
        <v>11</v>
      </c>
    </row>
    <row r="85" spans="1:15" x14ac:dyDescent="0.35">
      <c r="B85" s="232" t="s">
        <v>147</v>
      </c>
      <c r="C85" s="233"/>
      <c r="D85" s="234">
        <f>E72</f>
        <v>-2909090.9090909087</v>
      </c>
      <c r="E85" s="234">
        <f t="shared" ref="E85:O85" si="19">F72</f>
        <v>554636.36363636365</v>
      </c>
      <c r="F85" s="234">
        <f t="shared" si="19"/>
        <v>570179.09090909082</v>
      </c>
      <c r="G85" s="234">
        <f t="shared" si="19"/>
        <v>550285.6272727272</v>
      </c>
      <c r="H85" s="234">
        <f t="shared" si="19"/>
        <v>536956.78300000029</v>
      </c>
      <c r="I85" s="234">
        <f t="shared" si="19"/>
        <v>528884.26986454532</v>
      </c>
      <c r="J85" s="234">
        <f t="shared" si="19"/>
        <v>525021.61012433644</v>
      </c>
      <c r="K85" s="234">
        <f t="shared" si="19"/>
        <v>524531.77277330693</v>
      </c>
      <c r="L85" s="234">
        <f t="shared" si="19"/>
        <v>526745.28251563734</v>
      </c>
      <c r="M85" s="234">
        <f t="shared" si="19"/>
        <v>531126.70691714657</v>
      </c>
      <c r="N85" s="234">
        <f t="shared" si="19"/>
        <v>868565.42218284204</v>
      </c>
      <c r="O85" s="234">
        <f t="shared" si="19"/>
        <v>-147194.75930749989</v>
      </c>
    </row>
    <row r="86" spans="1:15" x14ac:dyDescent="0.35">
      <c r="B86" s="229" t="s">
        <v>148</v>
      </c>
      <c r="C86" s="235">
        <f>IF(E77&gt;0,D74*2,D74/2)</f>
        <v>0.14000000000000001</v>
      </c>
      <c r="D86" s="236">
        <f>ROUND(1/((1+$C$86)^D84),3)</f>
        <v>1</v>
      </c>
      <c r="E86" s="236">
        <f t="shared" ref="E86:O86" si="20">ROUND(1/((1+$C$86)^E84),3)</f>
        <v>0.877</v>
      </c>
      <c r="F86" s="236">
        <f t="shared" si="20"/>
        <v>0.76900000000000002</v>
      </c>
      <c r="G86" s="236">
        <f t="shared" si="20"/>
        <v>0.67500000000000004</v>
      </c>
      <c r="H86" s="236">
        <f t="shared" si="20"/>
        <v>0.59199999999999997</v>
      </c>
      <c r="I86" s="236">
        <f t="shared" si="20"/>
        <v>0.51900000000000002</v>
      </c>
      <c r="J86" s="236">
        <f t="shared" si="20"/>
        <v>0.45600000000000002</v>
      </c>
      <c r="K86" s="236">
        <f t="shared" si="20"/>
        <v>0.4</v>
      </c>
      <c r="L86" s="236">
        <f t="shared" si="20"/>
        <v>0.35099999999999998</v>
      </c>
      <c r="M86" s="236">
        <f t="shared" si="20"/>
        <v>0.308</v>
      </c>
      <c r="N86" s="236">
        <f t="shared" si="20"/>
        <v>0.27</v>
      </c>
      <c r="O86" s="236">
        <f t="shared" si="20"/>
        <v>0.23699999999999999</v>
      </c>
    </row>
    <row r="87" spans="1:15" ht="15" thickBot="1" x14ac:dyDescent="0.4">
      <c r="B87" s="232" t="s">
        <v>149</v>
      </c>
      <c r="C87" s="237"/>
      <c r="D87" s="238">
        <f>D85*D86</f>
        <v>-2909090.9090909087</v>
      </c>
      <c r="E87" s="238">
        <f>E85*E86</f>
        <v>486416.09090909094</v>
      </c>
      <c r="F87" s="238">
        <f t="shared" ref="E87:O87" si="21">F85*F86</f>
        <v>438467.72090909083</v>
      </c>
      <c r="G87" s="238">
        <f t="shared" si="21"/>
        <v>371442.7984090909</v>
      </c>
      <c r="H87" s="238">
        <f t="shared" si="21"/>
        <v>317878.41553600016</v>
      </c>
      <c r="I87" s="238">
        <f t="shared" si="21"/>
        <v>274490.93605969904</v>
      </c>
      <c r="J87" s="238">
        <f t="shared" si="21"/>
        <v>239409.85421669742</v>
      </c>
      <c r="K87" s="238">
        <f t="shared" si="21"/>
        <v>209812.70910932278</v>
      </c>
      <c r="L87" s="238">
        <f t="shared" si="21"/>
        <v>184887.59416298871</v>
      </c>
      <c r="M87" s="238">
        <f t="shared" si="21"/>
        <v>163587.02573048114</v>
      </c>
      <c r="N87" s="238">
        <f t="shared" si="21"/>
        <v>234512.66398936737</v>
      </c>
      <c r="O87" s="238">
        <f t="shared" si="21"/>
        <v>-34885.157955877468</v>
      </c>
    </row>
    <row r="88" spans="1:15" x14ac:dyDescent="0.35">
      <c r="B88" s="232"/>
      <c r="C88" s="233"/>
      <c r="D88" s="234"/>
      <c r="E88" s="234"/>
      <c r="F88" s="234"/>
      <c r="G88" s="234"/>
      <c r="H88" s="234"/>
      <c r="I88" s="239"/>
      <c r="J88" s="239"/>
      <c r="K88" s="239"/>
      <c r="L88" s="239"/>
      <c r="M88" s="239"/>
      <c r="N88" s="239"/>
      <c r="O88" s="239"/>
    </row>
    <row r="89" spans="1:15" ht="15" thickBot="1" x14ac:dyDescent="0.4">
      <c r="B89" s="232" t="s">
        <v>192</v>
      </c>
      <c r="C89" s="233"/>
      <c r="D89" s="240">
        <f>SUM(D87:O87)</f>
        <v>-23070.258014957231</v>
      </c>
      <c r="E89" s="234"/>
      <c r="F89" s="234"/>
      <c r="G89" s="234"/>
      <c r="H89" s="234"/>
      <c r="I89" s="239"/>
      <c r="J89" s="239"/>
      <c r="K89" s="239"/>
      <c r="L89" s="239"/>
      <c r="M89" s="239"/>
      <c r="N89" s="239"/>
      <c r="O89" s="239"/>
    </row>
    <row r="90" spans="1:15" ht="15" thickTop="1" x14ac:dyDescent="0.35">
      <c r="B90" s="232"/>
      <c r="C90" s="233"/>
      <c r="D90" s="239"/>
      <c r="E90" s="239"/>
      <c r="F90" s="239"/>
      <c r="G90" s="239"/>
      <c r="H90" s="239"/>
      <c r="I90" s="239"/>
      <c r="J90" s="239"/>
      <c r="K90" s="239"/>
      <c r="L90" s="239"/>
      <c r="M90" s="239"/>
      <c r="N90" s="239"/>
      <c r="O90" s="239"/>
    </row>
    <row r="91" spans="1:15" x14ac:dyDescent="0.35">
      <c r="B91" s="232"/>
      <c r="C91" s="233"/>
      <c r="D91" s="239"/>
      <c r="E91" s="239"/>
      <c r="F91" s="239"/>
      <c r="G91" s="239"/>
      <c r="H91" s="239"/>
      <c r="I91" s="239"/>
      <c r="J91" s="239"/>
      <c r="K91" s="239"/>
      <c r="L91" s="239"/>
      <c r="M91" s="239"/>
      <c r="N91" s="239"/>
      <c r="O91" s="239"/>
    </row>
    <row r="92" spans="1:15" x14ac:dyDescent="0.35">
      <c r="B92" s="232"/>
      <c r="C92" s="241"/>
      <c r="D92" s="239"/>
      <c r="E92" s="239"/>
      <c r="F92" s="239"/>
      <c r="G92" s="239"/>
      <c r="H92" s="239"/>
      <c r="I92" s="239"/>
      <c r="J92" s="239"/>
      <c r="K92" s="239"/>
      <c r="L92" s="239"/>
      <c r="M92" s="239"/>
      <c r="N92" s="239"/>
      <c r="O92" s="239"/>
    </row>
    <row r="93" spans="1:15" x14ac:dyDescent="0.35">
      <c r="B93" s="232" t="s">
        <v>153</v>
      </c>
      <c r="C93" s="241">
        <f>D74</f>
        <v>7.0000000000000007E-2</v>
      </c>
      <c r="D93" s="242" t="s">
        <v>193</v>
      </c>
      <c r="E93" s="243">
        <f>C86-D74</f>
        <v>7.0000000000000007E-2</v>
      </c>
      <c r="F93" s="233" t="s">
        <v>170</v>
      </c>
      <c r="G93" s="244">
        <f>E77/(E77-D89)</f>
        <v>0.97714490573936852</v>
      </c>
      <c r="H93" s="239" t="s">
        <v>172</v>
      </c>
      <c r="I93" s="239"/>
      <c r="J93" s="239"/>
      <c r="K93" s="239"/>
      <c r="L93" s="239"/>
      <c r="M93" s="239"/>
      <c r="N93" s="239"/>
      <c r="O93" s="239"/>
    </row>
    <row r="94" spans="1:15" x14ac:dyDescent="0.35">
      <c r="B94" s="232"/>
      <c r="C94" s="241"/>
      <c r="D94" s="239"/>
      <c r="E94" s="239"/>
      <c r="F94" s="239"/>
      <c r="G94" s="239"/>
      <c r="H94" s="239"/>
      <c r="I94" s="239"/>
      <c r="J94" s="239"/>
      <c r="K94" s="239"/>
      <c r="L94" s="239"/>
      <c r="M94" s="239"/>
      <c r="N94" s="239"/>
      <c r="O94" s="239"/>
    </row>
    <row r="95" spans="1:15" ht="15.5" x14ac:dyDescent="0.35">
      <c r="B95" s="232" t="s">
        <v>153</v>
      </c>
      <c r="C95" s="241">
        <f>C93</f>
        <v>7.0000000000000007E-2</v>
      </c>
      <c r="D95" s="242" t="s">
        <v>168</v>
      </c>
      <c r="E95" s="245">
        <f>E93*G93</f>
        <v>6.8400143401755806E-2</v>
      </c>
      <c r="F95" s="233"/>
      <c r="G95" s="239"/>
      <c r="H95" s="239"/>
      <c r="I95" s="239"/>
      <c r="J95" s="239"/>
      <c r="K95" s="239"/>
      <c r="L95" s="239"/>
      <c r="M95" s="239"/>
      <c r="N95" s="239"/>
      <c r="O95" s="239"/>
    </row>
    <row r="96" spans="1:15" x14ac:dyDescent="0.35">
      <c r="B96" s="232"/>
      <c r="C96" s="233"/>
      <c r="D96" s="239"/>
      <c r="E96" s="239"/>
      <c r="F96" s="239"/>
      <c r="G96" s="239"/>
      <c r="H96" s="239"/>
      <c r="I96" s="239"/>
      <c r="J96" s="239"/>
      <c r="K96" s="239"/>
      <c r="L96" s="239"/>
      <c r="M96" s="239"/>
      <c r="N96" s="239"/>
      <c r="O96" s="239"/>
    </row>
    <row r="97" spans="2:16" ht="15.5" x14ac:dyDescent="0.35">
      <c r="B97" s="154" t="s">
        <v>153</v>
      </c>
      <c r="C97" s="233"/>
      <c r="D97" s="246">
        <f>C95+E95</f>
        <v>0.13840014340175583</v>
      </c>
      <c r="E97" s="247"/>
      <c r="F97" s="131"/>
      <c r="G97" s="248"/>
      <c r="H97" s="248"/>
      <c r="I97" s="239"/>
      <c r="J97" s="239"/>
      <c r="K97" s="239"/>
      <c r="L97" s="239"/>
      <c r="M97" s="239"/>
      <c r="N97" s="239"/>
      <c r="O97" s="239"/>
    </row>
    <row r="98" spans="2:16" ht="16.5" x14ac:dyDescent="0.35">
      <c r="B98" s="249"/>
      <c r="C98" s="233"/>
      <c r="D98" s="239"/>
      <c r="E98" s="239"/>
      <c r="F98" s="239"/>
      <c r="G98" s="239"/>
      <c r="H98" s="239"/>
      <c r="I98" s="239"/>
      <c r="J98" s="239"/>
      <c r="K98" s="239"/>
      <c r="L98" s="239"/>
      <c r="M98" s="239"/>
      <c r="N98" s="239"/>
      <c r="O98" s="239"/>
    </row>
    <row r="99" spans="2:16" ht="16.5" x14ac:dyDescent="0.35">
      <c r="B99" s="249"/>
      <c r="C99" s="233"/>
      <c r="D99" s="239"/>
      <c r="E99" s="239"/>
      <c r="F99" s="239"/>
      <c r="G99" s="239"/>
      <c r="H99" s="239"/>
      <c r="I99" s="239"/>
      <c r="J99" s="239"/>
      <c r="K99" s="239"/>
      <c r="L99" s="239"/>
      <c r="M99" s="239"/>
      <c r="N99" s="239"/>
      <c r="O99" s="239"/>
    </row>
    <row r="100" spans="2:16" ht="15.5" x14ac:dyDescent="0.35">
      <c r="B100" s="97" t="s">
        <v>155</v>
      </c>
      <c r="C100" s="97"/>
      <c r="F100" s="138"/>
    </row>
    <row r="101" spans="2:16" ht="15.5" x14ac:dyDescent="0.35">
      <c r="F101" s="138"/>
    </row>
    <row r="102" spans="2:16" x14ac:dyDescent="0.35">
      <c r="B102" s="100" t="s">
        <v>125</v>
      </c>
      <c r="C102" s="100"/>
      <c r="D102" s="139"/>
      <c r="E102" s="103">
        <v>0</v>
      </c>
      <c r="F102" s="103">
        <v>1</v>
      </c>
      <c r="G102" s="103">
        <v>2</v>
      </c>
      <c r="H102" s="103">
        <v>3</v>
      </c>
      <c r="I102" s="103">
        <v>4</v>
      </c>
      <c r="J102" s="103">
        <v>5</v>
      </c>
      <c r="K102" s="103">
        <v>6</v>
      </c>
      <c r="L102" s="103">
        <v>7</v>
      </c>
      <c r="M102" s="103">
        <v>8</v>
      </c>
      <c r="N102" s="103">
        <v>9</v>
      </c>
      <c r="O102" s="103">
        <v>10</v>
      </c>
      <c r="P102" s="103">
        <v>11</v>
      </c>
    </row>
    <row r="103" spans="2:16" x14ac:dyDescent="0.35">
      <c r="B103" s="94" t="s">
        <v>156</v>
      </c>
      <c r="D103" s="140">
        <f>D74</f>
        <v>7.0000000000000007E-2</v>
      </c>
      <c r="E103" s="141">
        <f t="shared" ref="E103:P103" si="22">E75</f>
        <v>-2909091</v>
      </c>
      <c r="F103" s="141">
        <f t="shared" si="22"/>
        <v>518585</v>
      </c>
      <c r="G103" s="141">
        <f t="shared" si="22"/>
        <v>497766</v>
      </c>
      <c r="H103" s="141">
        <f t="shared" si="22"/>
        <v>449033</v>
      </c>
      <c r="I103" s="141">
        <f t="shared" si="22"/>
        <v>409698</v>
      </c>
      <c r="J103" s="141">
        <f t="shared" si="22"/>
        <v>377094</v>
      </c>
      <c r="K103" s="141">
        <f t="shared" si="22"/>
        <v>349664</v>
      </c>
      <c r="L103" s="141">
        <f t="shared" si="22"/>
        <v>326783</v>
      </c>
      <c r="M103" s="141">
        <f t="shared" si="22"/>
        <v>306566</v>
      </c>
      <c r="N103" s="141">
        <f t="shared" si="22"/>
        <v>288933</v>
      </c>
      <c r="O103" s="141">
        <f t="shared" si="22"/>
        <v>441231</v>
      </c>
      <c r="P103" s="141">
        <f t="shared" si="22"/>
        <v>-69918</v>
      </c>
    </row>
    <row r="104" spans="2:16" x14ac:dyDescent="0.35">
      <c r="B104" s="100" t="s">
        <v>157</v>
      </c>
      <c r="C104" s="100"/>
      <c r="D104" s="139"/>
      <c r="E104" s="142">
        <f>E103</f>
        <v>-2909091</v>
      </c>
      <c r="F104" s="142">
        <f>F103+E104</f>
        <v>-2390506</v>
      </c>
      <c r="G104" s="142">
        <f t="shared" ref="G104:P104" si="23">G103+F104</f>
        <v>-1892740</v>
      </c>
      <c r="H104" s="142">
        <f t="shared" si="23"/>
        <v>-1443707</v>
      </c>
      <c r="I104" s="142">
        <f t="shared" si="23"/>
        <v>-1034009</v>
      </c>
      <c r="J104" s="142">
        <f t="shared" si="23"/>
        <v>-656915</v>
      </c>
      <c r="K104" s="142">
        <f t="shared" si="23"/>
        <v>-307251</v>
      </c>
      <c r="L104" s="142">
        <f t="shared" si="23"/>
        <v>19532</v>
      </c>
      <c r="M104" s="142">
        <f t="shared" si="23"/>
        <v>326098</v>
      </c>
      <c r="N104" s="142">
        <f t="shared" si="23"/>
        <v>615031</v>
      </c>
      <c r="O104" s="142">
        <f t="shared" si="23"/>
        <v>1056262</v>
      </c>
      <c r="P104" s="142">
        <f t="shared" si="23"/>
        <v>986344</v>
      </c>
    </row>
    <row r="105" spans="2:16" x14ac:dyDescent="0.35">
      <c r="E105" s="141"/>
      <c r="F105" s="141"/>
      <c r="G105" s="141"/>
      <c r="H105" s="141"/>
      <c r="I105" s="141"/>
    </row>
    <row r="106" spans="2:16" ht="15.5" x14ac:dyDescent="0.35">
      <c r="B106" s="128" t="s">
        <v>158</v>
      </c>
      <c r="C106" s="128"/>
      <c r="D106" s="132"/>
      <c r="E106" s="143">
        <f>K102+(-K104/L103)</f>
        <v>6.9402294489003404</v>
      </c>
      <c r="F106" s="144" t="s">
        <v>0</v>
      </c>
      <c r="G106" s="141"/>
      <c r="H106" s="141"/>
      <c r="I106" s="141"/>
    </row>
    <row r="107" spans="2:16" ht="15.5" x14ac:dyDescent="0.35">
      <c r="B107" s="154" t="s">
        <v>161</v>
      </c>
      <c r="C107" s="145"/>
      <c r="E107" s="146">
        <v>4</v>
      </c>
      <c r="F107" s="144" t="s">
        <v>0</v>
      </c>
      <c r="G107" s="184"/>
      <c r="H107" s="141"/>
      <c r="I107" s="141"/>
    </row>
    <row r="108" spans="2:16" ht="17.5" x14ac:dyDescent="0.35">
      <c r="B108" s="19"/>
      <c r="C108" s="145"/>
      <c r="E108" s="146"/>
      <c r="F108" s="144"/>
      <c r="G108" s="141"/>
      <c r="H108" s="141"/>
      <c r="I108" s="141"/>
    </row>
    <row r="109" spans="2:16" ht="15.5" x14ac:dyDescent="0.35">
      <c r="B109" s="147" t="s">
        <v>159</v>
      </c>
      <c r="C109" s="148"/>
      <c r="D109" s="149"/>
      <c r="E109" s="150"/>
      <c r="F109" s="151"/>
      <c r="G109" s="152"/>
      <c r="H109" s="152"/>
      <c r="I109" s="152"/>
    </row>
    <row r="110" spans="2:16" ht="46" customHeight="1" x14ac:dyDescent="0.35">
      <c r="B110" s="303" t="s">
        <v>216</v>
      </c>
      <c r="C110" s="303"/>
      <c r="D110" s="303"/>
      <c r="E110" s="303"/>
      <c r="F110" s="303"/>
      <c r="G110" s="303"/>
      <c r="H110" s="303"/>
      <c r="I110" s="303"/>
    </row>
    <row r="111" spans="2:16" x14ac:dyDescent="0.35">
      <c r="E111" s="141"/>
      <c r="F111" s="141"/>
      <c r="G111" s="141"/>
      <c r="H111" s="141"/>
      <c r="I111" s="141"/>
    </row>
    <row r="112" spans="2:16" ht="36.5" customHeight="1" x14ac:dyDescent="0.35">
      <c r="B112" s="303"/>
      <c r="C112" s="303"/>
      <c r="D112" s="303"/>
      <c r="E112" s="303"/>
      <c r="F112" s="303"/>
      <c r="G112" s="303"/>
      <c r="H112" s="303"/>
      <c r="I112" s="303"/>
    </row>
    <row r="114" spans="2:2" x14ac:dyDescent="0.35">
      <c r="B114" s="185"/>
    </row>
  </sheetData>
  <mergeCells count="2">
    <mergeCell ref="B110:I110"/>
    <mergeCell ref="B112:I112"/>
  </mergeCells>
  <pageMargins left="0.51181102362204722" right="0.51181102362204722" top="0.55118110236220474" bottom="0.55118110236220474" header="0.31496062992125984" footer="0.31496062992125984"/>
  <pageSetup paperSize="9" scale="85" fitToHeight="2" orientation="portrait" r:id="rId1"/>
  <rowBreaks count="1" manualBreakCount="1">
    <brk id="50" min="1" max="8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B57FF-91DC-48EB-B194-670C024189F6}">
  <sheetPr>
    <pageSetUpPr fitToPage="1"/>
  </sheetPr>
  <dimension ref="B1:AA37"/>
  <sheetViews>
    <sheetView zoomScaleNormal="100" workbookViewId="0">
      <selection activeCell="B37" sqref="B37"/>
    </sheetView>
  </sheetViews>
  <sheetFormatPr defaultColWidth="9.1796875" defaultRowHeight="20.149999999999999" customHeight="1" x14ac:dyDescent="0.25"/>
  <cols>
    <col min="1" max="1" width="3.81640625" style="256" customWidth="1"/>
    <col min="2" max="2" width="33.453125" style="260" customWidth="1"/>
    <col min="3" max="3" width="8.90625" style="255" customWidth="1"/>
    <col min="4" max="4" width="9.26953125" style="255" customWidth="1"/>
    <col min="5" max="5" width="4.1796875" style="255" customWidth="1"/>
    <col min="6" max="6" width="6.453125" style="255" customWidth="1"/>
    <col min="7" max="7" width="6.81640625" style="255" bestFit="1" customWidth="1"/>
    <col min="8" max="8" width="6.81640625" style="255" customWidth="1"/>
    <col min="9" max="9" width="2.453125" style="255" customWidth="1"/>
    <col min="10" max="10" width="6.54296875" style="255" bestFit="1" customWidth="1"/>
    <col min="11" max="11" width="3.1796875" style="255" bestFit="1" customWidth="1"/>
    <col min="12" max="12" width="6.1796875" style="255" bestFit="1" customWidth="1"/>
    <col min="13" max="13" width="4.1796875" style="256" bestFit="1" customWidth="1"/>
    <col min="14" max="14" width="11.26953125" style="256" bestFit="1" customWidth="1"/>
    <col min="15" max="15" width="14.7265625" style="257" bestFit="1" customWidth="1"/>
    <col min="16" max="16" width="8.1796875" style="258" customWidth="1"/>
    <col min="17" max="16384" width="9.1796875" style="256"/>
  </cols>
  <sheetData>
    <row r="1" spans="2:27" s="47" customFormat="1" ht="20" customHeight="1" x14ac:dyDescent="0.25">
      <c r="B1" s="155" t="s">
        <v>162</v>
      </c>
      <c r="C1" s="66"/>
      <c r="D1" s="66"/>
      <c r="E1" s="66"/>
      <c r="F1" s="66"/>
      <c r="G1" s="66"/>
      <c r="H1" s="66"/>
      <c r="I1" s="66"/>
      <c r="J1" s="66"/>
      <c r="K1" s="66"/>
      <c r="L1" s="66"/>
      <c r="O1" s="156"/>
      <c r="P1" s="157"/>
      <c r="X1" s="76"/>
      <c r="Y1" s="76"/>
      <c r="Z1" s="76"/>
      <c r="AA1" s="76"/>
    </row>
    <row r="2" spans="2:27" s="47" customFormat="1" ht="20" customHeight="1" x14ac:dyDescent="0.25">
      <c r="B2" s="155"/>
      <c r="C2" s="66"/>
      <c r="D2" s="66"/>
      <c r="E2" s="66"/>
      <c r="F2" s="66"/>
      <c r="G2" s="66"/>
      <c r="H2" s="66"/>
      <c r="I2" s="66"/>
      <c r="J2" s="66"/>
      <c r="K2" s="66"/>
      <c r="L2" s="66"/>
      <c r="O2" s="156"/>
      <c r="P2" s="157"/>
      <c r="X2" s="76"/>
      <c r="Y2" s="76"/>
      <c r="Z2" s="76"/>
      <c r="AA2" s="76"/>
    </row>
    <row r="3" spans="2:27" s="47" customFormat="1" ht="20" customHeight="1" x14ac:dyDescent="0.25">
      <c r="B3" s="158" t="s">
        <v>163</v>
      </c>
      <c r="C3" s="159" t="s">
        <v>22</v>
      </c>
      <c r="D3" s="159" t="s">
        <v>21</v>
      </c>
      <c r="F3" s="66"/>
      <c r="G3" s="66"/>
      <c r="H3" s="66"/>
      <c r="I3" s="66"/>
      <c r="J3" s="66"/>
      <c r="K3" s="66"/>
      <c r="L3" s="66"/>
      <c r="O3" s="156"/>
      <c r="P3" s="157"/>
      <c r="X3" s="76"/>
      <c r="Y3" s="76"/>
      <c r="Z3" s="76"/>
      <c r="AA3" s="76"/>
    </row>
    <row r="4" spans="2:27" s="47" customFormat="1" ht="20" customHeight="1" x14ac:dyDescent="0.25">
      <c r="B4" s="160" t="s">
        <v>164</v>
      </c>
      <c r="C4" s="161">
        <v>62</v>
      </c>
      <c r="D4" s="182">
        <v>550</v>
      </c>
      <c r="F4" s="66"/>
      <c r="G4" s="162"/>
      <c r="I4" s="66"/>
      <c r="J4" s="66"/>
      <c r="K4" s="66"/>
      <c r="L4" s="163"/>
      <c r="O4" s="156"/>
      <c r="P4" s="157"/>
      <c r="X4" s="76"/>
      <c r="Y4" s="76"/>
      <c r="Z4" s="76"/>
      <c r="AA4" s="76"/>
    </row>
    <row r="5" spans="2:27" s="47" customFormat="1" ht="20" customHeight="1" x14ac:dyDescent="0.25">
      <c r="B5" s="160" t="s">
        <v>165</v>
      </c>
      <c r="C5" s="164">
        <v>4.0126094301931599E-2</v>
      </c>
      <c r="D5" s="183">
        <v>7.3080623728163735E-2</v>
      </c>
      <c r="G5" s="66"/>
      <c r="H5" s="163"/>
      <c r="I5" s="165"/>
      <c r="J5" s="166"/>
      <c r="K5" s="66"/>
      <c r="L5" s="66"/>
      <c r="O5" s="156"/>
      <c r="P5" s="157"/>
      <c r="X5" s="76"/>
      <c r="Y5" s="76"/>
      <c r="Z5" s="76"/>
      <c r="AA5" s="76"/>
    </row>
    <row r="6" spans="2:27" s="47" customFormat="1" ht="20" customHeight="1" x14ac:dyDescent="0.25">
      <c r="B6" s="160" t="s">
        <v>166</v>
      </c>
      <c r="C6" s="167">
        <v>0.2</v>
      </c>
      <c r="D6" s="66"/>
      <c r="K6" s="66"/>
      <c r="L6" s="66"/>
      <c r="O6" s="156"/>
      <c r="P6" s="157"/>
      <c r="X6" s="76"/>
      <c r="Y6" s="76"/>
      <c r="Z6" s="76"/>
      <c r="AA6" s="76"/>
    </row>
    <row r="7" spans="2:27" ht="20.149999999999999" customHeight="1" x14ac:dyDescent="0.25">
      <c r="B7" s="254"/>
    </row>
    <row r="8" spans="2:27" ht="20.149999999999999" customHeight="1" x14ac:dyDescent="0.25">
      <c r="B8" s="259" t="s">
        <v>167</v>
      </c>
    </row>
    <row r="10" spans="2:27" ht="20.149999999999999" customHeight="1" x14ac:dyDescent="0.25">
      <c r="B10" s="260" t="s">
        <v>206</v>
      </c>
      <c r="C10" s="261" t="s">
        <v>64</v>
      </c>
      <c r="D10" s="262">
        <f>C4</f>
        <v>62</v>
      </c>
      <c r="E10" s="255" t="s">
        <v>168</v>
      </c>
      <c r="F10" s="287">
        <f>D4</f>
        <v>550</v>
      </c>
      <c r="M10" s="255" t="s">
        <v>64</v>
      </c>
      <c r="N10" s="263">
        <f>D10+F10</f>
        <v>612</v>
      </c>
    </row>
    <row r="11" spans="2:27" ht="20.149999999999999" customHeight="1" x14ac:dyDescent="0.25">
      <c r="C11" s="261"/>
      <c r="M11" s="255"/>
      <c r="N11" s="264"/>
    </row>
    <row r="12" spans="2:27" ht="20.149999999999999" customHeight="1" x14ac:dyDescent="0.25">
      <c r="B12" s="260" t="s">
        <v>201</v>
      </c>
      <c r="C12" s="261" t="s">
        <v>64</v>
      </c>
      <c r="D12" s="255">
        <f>D10</f>
        <v>62</v>
      </c>
      <c r="E12" s="265" t="s">
        <v>63</v>
      </c>
      <c r="F12" s="278">
        <f>N10</f>
        <v>612</v>
      </c>
      <c r="M12" s="266" t="s">
        <v>64</v>
      </c>
      <c r="N12" s="267">
        <f>D12/F12</f>
        <v>0.10130718954248366</v>
      </c>
      <c r="O12" s="257" t="s">
        <v>215</v>
      </c>
    </row>
    <row r="13" spans="2:27" ht="20.149999999999999" customHeight="1" x14ac:dyDescent="0.25">
      <c r="C13" s="261"/>
      <c r="M13" s="255"/>
      <c r="N13" s="268"/>
    </row>
    <row r="14" spans="2:27" ht="20.149999999999999" customHeight="1" x14ac:dyDescent="0.25">
      <c r="B14" s="260" t="s">
        <v>207</v>
      </c>
      <c r="C14" s="269" t="s">
        <v>169</v>
      </c>
      <c r="D14" s="268">
        <f>N12</f>
        <v>0.10130718954248366</v>
      </c>
      <c r="E14" s="255" t="s">
        <v>170</v>
      </c>
      <c r="F14" s="270">
        <f>C5</f>
        <v>4.0126094301931599E-2</v>
      </c>
      <c r="G14" s="255" t="s">
        <v>171</v>
      </c>
      <c r="H14" s="268">
        <f>1-N12</f>
        <v>0.89869281045751637</v>
      </c>
      <c r="I14" s="255" t="s">
        <v>170</v>
      </c>
      <c r="J14" s="289">
        <f>D5</f>
        <v>7.3080623728163735E-2</v>
      </c>
      <c r="K14" s="271" t="s">
        <v>172</v>
      </c>
      <c r="M14" s="266" t="s">
        <v>64</v>
      </c>
      <c r="N14" s="267">
        <f>(D14*F14)+(H14*J14)</f>
        <v>6.9742092969297079E-2</v>
      </c>
    </row>
    <row r="15" spans="2:27" ht="20.149999999999999" customHeight="1" x14ac:dyDescent="0.25">
      <c r="B15" s="272"/>
      <c r="C15" s="273"/>
      <c r="D15" s="273"/>
      <c r="E15" s="273"/>
      <c r="F15" s="273"/>
      <c r="G15" s="273"/>
      <c r="H15" s="273"/>
      <c r="I15" s="273"/>
      <c r="J15" s="273"/>
      <c r="K15" s="273"/>
      <c r="L15" s="273"/>
      <c r="M15" s="274"/>
      <c r="N15" s="274"/>
      <c r="O15" s="275"/>
      <c r="P15" s="276"/>
    </row>
    <row r="17" spans="2:16" ht="20.149999999999999" customHeight="1" x14ac:dyDescent="0.25">
      <c r="B17" s="259" t="s">
        <v>197</v>
      </c>
    </row>
    <row r="18" spans="2:16" ht="20.149999999999999" customHeight="1" x14ac:dyDescent="0.25">
      <c r="B18" s="254"/>
    </row>
    <row r="19" spans="2:16" ht="20.149999999999999" customHeight="1" x14ac:dyDescent="0.25">
      <c r="B19" s="260" t="s">
        <v>196</v>
      </c>
      <c r="C19" s="269"/>
      <c r="D19" s="268"/>
      <c r="F19" s="277"/>
      <c r="H19" s="268"/>
      <c r="J19" s="277"/>
      <c r="K19" s="271"/>
      <c r="M19" s="269"/>
      <c r="N19" s="267"/>
    </row>
    <row r="21" spans="2:16" ht="20.149999999999999" customHeight="1" x14ac:dyDescent="0.25">
      <c r="B21" s="254" t="s">
        <v>198</v>
      </c>
      <c r="C21" s="256"/>
      <c r="D21" s="254"/>
      <c r="E21" s="256"/>
      <c r="F21" s="256"/>
      <c r="M21" s="255"/>
      <c r="N21" s="255"/>
    </row>
    <row r="22" spans="2:16" ht="20.149999999999999" customHeight="1" x14ac:dyDescent="0.25">
      <c r="M22" s="255"/>
      <c r="N22" s="255"/>
    </row>
    <row r="23" spans="2:16" ht="20.149999999999999" customHeight="1" x14ac:dyDescent="0.25">
      <c r="B23" s="260" t="s">
        <v>208</v>
      </c>
      <c r="C23" s="261" t="s">
        <v>64</v>
      </c>
      <c r="D23" s="278">
        <f>N10</f>
        <v>612</v>
      </c>
      <c r="E23" s="266" t="s">
        <v>204</v>
      </c>
      <c r="F23" s="255">
        <f>D10</f>
        <v>62</v>
      </c>
      <c r="G23" s="255" t="s">
        <v>170</v>
      </c>
      <c r="H23" s="279">
        <f>C6</f>
        <v>0.2</v>
      </c>
      <c r="I23" s="255" t="s">
        <v>172</v>
      </c>
      <c r="M23" s="255" t="s">
        <v>64</v>
      </c>
      <c r="N23" s="278">
        <f>D23-(F23*H23)</f>
        <v>599.6</v>
      </c>
      <c r="O23" s="280"/>
      <c r="P23" s="281"/>
    </row>
    <row r="24" spans="2:16" ht="20.149999999999999" customHeight="1" x14ac:dyDescent="0.25">
      <c r="C24" s="261"/>
      <c r="M24" s="255"/>
      <c r="N24" s="264"/>
      <c r="O24" s="261"/>
      <c r="P24" s="254"/>
    </row>
    <row r="25" spans="2:16" ht="20.149999999999999" customHeight="1" x14ac:dyDescent="0.25">
      <c r="B25" s="260" t="s">
        <v>209</v>
      </c>
      <c r="C25" s="269" t="s">
        <v>64</v>
      </c>
      <c r="D25" s="277">
        <f>N14</f>
        <v>6.9742092969297079E-2</v>
      </c>
      <c r="E25" s="266" t="s">
        <v>210</v>
      </c>
      <c r="F25" s="282">
        <v>1</v>
      </c>
      <c r="G25" s="266" t="s">
        <v>204</v>
      </c>
      <c r="H25" s="282">
        <f>D10</f>
        <v>62</v>
      </c>
      <c r="I25" s="255" t="s">
        <v>170</v>
      </c>
      <c r="J25" s="283">
        <f>H23</f>
        <v>0.2</v>
      </c>
      <c r="K25" s="265" t="s">
        <v>63</v>
      </c>
      <c r="L25" s="282">
        <f>D23</f>
        <v>612</v>
      </c>
      <c r="M25" s="266" t="s">
        <v>205</v>
      </c>
      <c r="N25" s="268">
        <f>D25/(F25-(H25*J25/L25))</f>
        <v>7.1184391089409299E-2</v>
      </c>
      <c r="O25" s="280"/>
      <c r="P25" s="284"/>
    </row>
    <row r="26" spans="2:16" ht="20.149999999999999" customHeight="1" x14ac:dyDescent="0.25">
      <c r="C26" s="269"/>
      <c r="D26" s="277"/>
      <c r="E26" s="266"/>
      <c r="F26" s="282"/>
      <c r="G26" s="266"/>
      <c r="H26" s="282"/>
      <c r="J26" s="283"/>
      <c r="K26" s="265"/>
      <c r="L26" s="282"/>
      <c r="M26" s="266"/>
      <c r="N26" s="267"/>
      <c r="O26" s="280"/>
      <c r="P26" s="284"/>
    </row>
    <row r="27" spans="2:16" ht="20.149999999999999" customHeight="1" x14ac:dyDescent="0.25">
      <c r="B27" s="285" t="s">
        <v>211</v>
      </c>
      <c r="C27" s="269"/>
      <c r="D27" s="277"/>
      <c r="E27" s="266"/>
      <c r="F27" s="282"/>
      <c r="G27" s="266"/>
      <c r="H27" s="282"/>
      <c r="J27" s="283"/>
      <c r="K27" s="265"/>
      <c r="L27" s="282"/>
      <c r="M27" s="266"/>
      <c r="N27" s="267"/>
      <c r="O27" s="280"/>
      <c r="P27" s="284"/>
    </row>
    <row r="28" spans="2:16" ht="20.149999999999999" customHeight="1" x14ac:dyDescent="0.25">
      <c r="M28" s="255"/>
      <c r="N28" s="255"/>
      <c r="O28" s="256"/>
      <c r="P28" s="254"/>
    </row>
    <row r="29" spans="2:16" ht="20.149999999999999" customHeight="1" x14ac:dyDescent="0.25">
      <c r="B29" s="254" t="s">
        <v>199</v>
      </c>
      <c r="D29" s="288">
        <v>0.25</v>
      </c>
      <c r="E29" s="304"/>
      <c r="F29" s="304"/>
      <c r="G29" s="304"/>
      <c r="H29" s="304"/>
      <c r="I29" s="304"/>
      <c r="J29" s="286"/>
      <c r="K29" s="286"/>
      <c r="P29" s="256"/>
    </row>
    <row r="30" spans="2:16" ht="20.149999999999999" customHeight="1" x14ac:dyDescent="0.25">
      <c r="M30" s="255"/>
      <c r="N30" s="255"/>
      <c r="O30" s="256"/>
      <c r="P30" s="254"/>
    </row>
    <row r="31" spans="2:16" ht="20.149999999999999" customHeight="1" x14ac:dyDescent="0.25">
      <c r="B31" s="260" t="s">
        <v>200</v>
      </c>
      <c r="C31" s="261" t="s">
        <v>64</v>
      </c>
      <c r="D31" s="278">
        <f>N23</f>
        <v>599.6</v>
      </c>
      <c r="E31" s="266" t="s">
        <v>193</v>
      </c>
      <c r="F31" s="278">
        <f>D33</f>
        <v>157.78947368421055</v>
      </c>
      <c r="G31" s="255" t="s">
        <v>170</v>
      </c>
      <c r="H31" s="283">
        <f>H23</f>
        <v>0.2</v>
      </c>
      <c r="I31" s="255" t="s">
        <v>172</v>
      </c>
      <c r="M31" s="255" t="s">
        <v>64</v>
      </c>
      <c r="N31" s="263">
        <f>D31+(F31*H31)</f>
        <v>631.15789473684208</v>
      </c>
      <c r="O31" s="280" t="s">
        <v>212</v>
      </c>
      <c r="P31" s="281">
        <f>N31-N10</f>
        <v>19.157894736842081</v>
      </c>
    </row>
    <row r="32" spans="2:16" ht="20.149999999999999" customHeight="1" x14ac:dyDescent="0.25">
      <c r="C32" s="261"/>
      <c r="M32" s="255"/>
      <c r="N32" s="255"/>
      <c r="O32" s="280"/>
      <c r="P32" s="254"/>
    </row>
    <row r="33" spans="2:16" ht="20.149999999999999" customHeight="1" x14ac:dyDescent="0.25">
      <c r="B33" s="260" t="s">
        <v>201</v>
      </c>
      <c r="C33" s="261" t="s">
        <v>64</v>
      </c>
      <c r="D33" s="263">
        <f>(D29*N23)/(1-(D29*H23))</f>
        <v>157.78947368421055</v>
      </c>
      <c r="E33" s="265" t="s">
        <v>63</v>
      </c>
      <c r="F33" s="278">
        <f>N31</f>
        <v>631.15789473684208</v>
      </c>
      <c r="M33" s="266" t="s">
        <v>64</v>
      </c>
      <c r="N33" s="267">
        <f>D33/F33</f>
        <v>0.25000000000000006</v>
      </c>
      <c r="O33" s="280" t="s">
        <v>212</v>
      </c>
      <c r="P33" s="284">
        <f>N33-N12</f>
        <v>0.14869281045751639</v>
      </c>
    </row>
    <row r="34" spans="2:16" ht="20.149999999999999" customHeight="1" x14ac:dyDescent="0.25">
      <c r="C34" s="261"/>
      <c r="M34" s="255"/>
      <c r="N34" s="277"/>
      <c r="O34" s="280"/>
      <c r="P34" s="254"/>
    </row>
    <row r="35" spans="2:16" ht="20.149999999999999" customHeight="1" x14ac:dyDescent="0.25">
      <c r="B35" s="260" t="s">
        <v>202</v>
      </c>
      <c r="C35" s="269" t="s">
        <v>64</v>
      </c>
      <c r="D35" s="277">
        <f>N25</f>
        <v>7.1184391089409299E-2</v>
      </c>
      <c r="E35" s="266" t="s">
        <v>203</v>
      </c>
      <c r="F35" s="282">
        <v>1</v>
      </c>
      <c r="G35" s="266" t="s">
        <v>204</v>
      </c>
      <c r="H35" s="282">
        <f>D33</f>
        <v>157.78947368421055</v>
      </c>
      <c r="I35" s="255" t="s">
        <v>170</v>
      </c>
      <c r="J35" s="283">
        <f>H23</f>
        <v>0.2</v>
      </c>
      <c r="K35" s="265" t="s">
        <v>63</v>
      </c>
      <c r="L35" s="282">
        <f>N31</f>
        <v>631.15789473684208</v>
      </c>
      <c r="M35" s="266" t="s">
        <v>205</v>
      </c>
      <c r="N35" s="267">
        <f>D35*(F35-(H35*J35/L35))</f>
        <v>6.7625171534938827E-2</v>
      </c>
      <c r="O35" s="280" t="s">
        <v>213</v>
      </c>
      <c r="P35" s="284">
        <f>N14-N35</f>
        <v>2.1169214343582515E-3</v>
      </c>
    </row>
    <row r="36" spans="2:16" ht="20.149999999999999" customHeight="1" x14ac:dyDescent="0.25">
      <c r="C36" s="269"/>
      <c r="D36" s="277"/>
      <c r="E36" s="266"/>
      <c r="F36" s="282"/>
      <c r="G36" s="266"/>
      <c r="H36" s="282"/>
      <c r="J36" s="283"/>
      <c r="K36" s="265"/>
      <c r="L36" s="282"/>
      <c r="M36" s="266"/>
      <c r="N36" s="267"/>
      <c r="O36" s="280"/>
      <c r="P36" s="284"/>
    </row>
    <row r="37" spans="2:16" ht="20.149999999999999" customHeight="1" x14ac:dyDescent="0.25">
      <c r="B37" s="285" t="s">
        <v>214</v>
      </c>
      <c r="C37" s="269"/>
      <c r="D37" s="277"/>
      <c r="E37" s="266"/>
      <c r="F37" s="282"/>
      <c r="G37" s="266"/>
      <c r="H37" s="282"/>
      <c r="J37" s="283"/>
      <c r="K37" s="265"/>
      <c r="L37" s="282"/>
      <c r="M37" s="266"/>
      <c r="N37" s="267"/>
      <c r="O37" s="280"/>
      <c r="P37" s="284"/>
    </row>
  </sheetData>
  <mergeCells count="1">
    <mergeCell ref="E29:I29"/>
  </mergeCells>
  <printOptions horizontalCentered="1"/>
  <pageMargins left="0.31496062992125984" right="0.31496062992125984" top="0.55118110236220474" bottom="0.35433070866141736" header="0.31496062992125984" footer="0.31496062992125984"/>
  <pageSetup paperSize="9" scale="8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ADA2D-9558-4A75-A48B-D3C3074798D9}">
  <dimension ref="B2:H35"/>
  <sheetViews>
    <sheetView zoomScale="110" zoomScaleNormal="110" workbookViewId="0">
      <selection activeCell="F3" sqref="F3"/>
    </sheetView>
  </sheetViews>
  <sheetFormatPr defaultColWidth="10" defaultRowHeight="22.5" x14ac:dyDescent="0.45"/>
  <cols>
    <col min="1" max="1" width="10" style="168"/>
    <col min="2" max="2" width="29.26953125" style="168" customWidth="1"/>
    <col min="3" max="3" width="15.26953125" style="168" customWidth="1"/>
    <col min="4" max="5" width="14.7265625" style="168" customWidth="1"/>
    <col min="6" max="6" width="13.6328125" style="168" customWidth="1"/>
    <col min="7" max="7" width="14.36328125" style="168" customWidth="1"/>
    <col min="8" max="8" width="34.6328125" style="168" bestFit="1" customWidth="1"/>
    <col min="9" max="252" width="10" style="168"/>
    <col min="253" max="253" width="61.453125" style="168" customWidth="1"/>
    <col min="254" max="257" width="19.26953125" style="168" customWidth="1"/>
    <col min="258" max="258" width="9.26953125" style="168" customWidth="1"/>
    <col min="259" max="508" width="10" style="168"/>
    <col min="509" max="509" width="61.453125" style="168" customWidth="1"/>
    <col min="510" max="513" width="19.26953125" style="168" customWidth="1"/>
    <col min="514" max="514" width="9.26953125" style="168" customWidth="1"/>
    <col min="515" max="764" width="10" style="168"/>
    <col min="765" max="765" width="61.453125" style="168" customWidth="1"/>
    <col min="766" max="769" width="19.26953125" style="168" customWidth="1"/>
    <col min="770" max="770" width="9.26953125" style="168" customWidth="1"/>
    <col min="771" max="1020" width="10" style="168"/>
    <col min="1021" max="1021" width="61.453125" style="168" customWidth="1"/>
    <col min="1022" max="1025" width="19.26953125" style="168" customWidth="1"/>
    <col min="1026" max="1026" width="9.26953125" style="168" customWidth="1"/>
    <col min="1027" max="1276" width="10" style="168"/>
    <col min="1277" max="1277" width="61.453125" style="168" customWidth="1"/>
    <col min="1278" max="1281" width="19.26953125" style="168" customWidth="1"/>
    <col min="1282" max="1282" width="9.26953125" style="168" customWidth="1"/>
    <col min="1283" max="1532" width="10" style="168"/>
    <col min="1533" max="1533" width="61.453125" style="168" customWidth="1"/>
    <col min="1534" max="1537" width="19.26953125" style="168" customWidth="1"/>
    <col min="1538" max="1538" width="9.26953125" style="168" customWidth="1"/>
    <col min="1539" max="1788" width="10" style="168"/>
    <col min="1789" max="1789" width="61.453125" style="168" customWidth="1"/>
    <col min="1790" max="1793" width="19.26953125" style="168" customWidth="1"/>
    <col min="1794" max="1794" width="9.26953125" style="168" customWidth="1"/>
    <col min="1795" max="2044" width="10" style="168"/>
    <col min="2045" max="2045" width="61.453125" style="168" customWidth="1"/>
    <col min="2046" max="2049" width="19.26953125" style="168" customWidth="1"/>
    <col min="2050" max="2050" width="9.26953125" style="168" customWidth="1"/>
    <col min="2051" max="2300" width="10" style="168"/>
    <col min="2301" max="2301" width="61.453125" style="168" customWidth="1"/>
    <col min="2302" max="2305" width="19.26953125" style="168" customWidth="1"/>
    <col min="2306" max="2306" width="9.26953125" style="168" customWidth="1"/>
    <col min="2307" max="2556" width="10" style="168"/>
    <col min="2557" max="2557" width="61.453125" style="168" customWidth="1"/>
    <col min="2558" max="2561" width="19.26953125" style="168" customWidth="1"/>
    <col min="2562" max="2562" width="9.26953125" style="168" customWidth="1"/>
    <col min="2563" max="2812" width="10" style="168"/>
    <col min="2813" max="2813" width="61.453125" style="168" customWidth="1"/>
    <col min="2814" max="2817" width="19.26953125" style="168" customWidth="1"/>
    <col min="2818" max="2818" width="9.26953125" style="168" customWidth="1"/>
    <col min="2819" max="3068" width="10" style="168"/>
    <col min="3069" max="3069" width="61.453125" style="168" customWidth="1"/>
    <col min="3070" max="3073" width="19.26953125" style="168" customWidth="1"/>
    <col min="3074" max="3074" width="9.26953125" style="168" customWidth="1"/>
    <col min="3075" max="3324" width="10" style="168"/>
    <col min="3325" max="3325" width="61.453125" style="168" customWidth="1"/>
    <col min="3326" max="3329" width="19.26953125" style="168" customWidth="1"/>
    <col min="3330" max="3330" width="9.26953125" style="168" customWidth="1"/>
    <col min="3331" max="3580" width="10" style="168"/>
    <col min="3581" max="3581" width="61.453125" style="168" customWidth="1"/>
    <col min="3582" max="3585" width="19.26953125" style="168" customWidth="1"/>
    <col min="3586" max="3586" width="9.26953125" style="168" customWidth="1"/>
    <col min="3587" max="3836" width="10" style="168"/>
    <col min="3837" max="3837" width="61.453125" style="168" customWidth="1"/>
    <col min="3838" max="3841" width="19.26953125" style="168" customWidth="1"/>
    <col min="3842" max="3842" width="9.26953125" style="168" customWidth="1"/>
    <col min="3843" max="4092" width="10" style="168"/>
    <col min="4093" max="4093" width="61.453125" style="168" customWidth="1"/>
    <col min="4094" max="4097" width="19.26953125" style="168" customWidth="1"/>
    <col min="4098" max="4098" width="9.26953125" style="168" customWidth="1"/>
    <col min="4099" max="4348" width="10" style="168"/>
    <col min="4349" max="4349" width="61.453125" style="168" customWidth="1"/>
    <col min="4350" max="4353" width="19.26953125" style="168" customWidth="1"/>
    <col min="4354" max="4354" width="9.26953125" style="168" customWidth="1"/>
    <col min="4355" max="4604" width="10" style="168"/>
    <col min="4605" max="4605" width="61.453125" style="168" customWidth="1"/>
    <col min="4606" max="4609" width="19.26953125" style="168" customWidth="1"/>
    <col min="4610" max="4610" width="9.26953125" style="168" customWidth="1"/>
    <col min="4611" max="4860" width="10" style="168"/>
    <col min="4861" max="4861" width="61.453125" style="168" customWidth="1"/>
    <col min="4862" max="4865" width="19.26953125" style="168" customWidth="1"/>
    <col min="4866" max="4866" width="9.26953125" style="168" customWidth="1"/>
    <col min="4867" max="5116" width="10" style="168"/>
    <col min="5117" max="5117" width="61.453125" style="168" customWidth="1"/>
    <col min="5118" max="5121" width="19.26953125" style="168" customWidth="1"/>
    <col min="5122" max="5122" width="9.26953125" style="168" customWidth="1"/>
    <col min="5123" max="5372" width="10" style="168"/>
    <col min="5373" max="5373" width="61.453125" style="168" customWidth="1"/>
    <col min="5374" max="5377" width="19.26953125" style="168" customWidth="1"/>
    <col min="5378" max="5378" width="9.26953125" style="168" customWidth="1"/>
    <col min="5379" max="5628" width="10" style="168"/>
    <col min="5629" max="5629" width="61.453125" style="168" customWidth="1"/>
    <col min="5630" max="5633" width="19.26953125" style="168" customWidth="1"/>
    <col min="5634" max="5634" width="9.26953125" style="168" customWidth="1"/>
    <col min="5635" max="5884" width="10" style="168"/>
    <col min="5885" max="5885" width="61.453125" style="168" customWidth="1"/>
    <col min="5886" max="5889" width="19.26953125" style="168" customWidth="1"/>
    <col min="5890" max="5890" width="9.26953125" style="168" customWidth="1"/>
    <col min="5891" max="6140" width="10" style="168"/>
    <col min="6141" max="6141" width="61.453125" style="168" customWidth="1"/>
    <col min="6142" max="6145" width="19.26953125" style="168" customWidth="1"/>
    <col min="6146" max="6146" width="9.26953125" style="168" customWidth="1"/>
    <col min="6147" max="6396" width="10" style="168"/>
    <col min="6397" max="6397" width="61.453125" style="168" customWidth="1"/>
    <col min="6398" max="6401" width="19.26953125" style="168" customWidth="1"/>
    <col min="6402" max="6402" width="9.26953125" style="168" customWidth="1"/>
    <col min="6403" max="6652" width="10" style="168"/>
    <col min="6653" max="6653" width="61.453125" style="168" customWidth="1"/>
    <col min="6654" max="6657" width="19.26953125" style="168" customWidth="1"/>
    <col min="6658" max="6658" width="9.26953125" style="168" customWidth="1"/>
    <col min="6659" max="6908" width="10" style="168"/>
    <col min="6909" max="6909" width="61.453125" style="168" customWidth="1"/>
    <col min="6910" max="6913" width="19.26953125" style="168" customWidth="1"/>
    <col min="6914" max="6914" width="9.26953125" style="168" customWidth="1"/>
    <col min="6915" max="7164" width="10" style="168"/>
    <col min="7165" max="7165" width="61.453125" style="168" customWidth="1"/>
    <col min="7166" max="7169" width="19.26953125" style="168" customWidth="1"/>
    <col min="7170" max="7170" width="9.26953125" style="168" customWidth="1"/>
    <col min="7171" max="7420" width="10" style="168"/>
    <col min="7421" max="7421" width="61.453125" style="168" customWidth="1"/>
    <col min="7422" max="7425" width="19.26953125" style="168" customWidth="1"/>
    <col min="7426" max="7426" width="9.26953125" style="168" customWidth="1"/>
    <col min="7427" max="7676" width="10" style="168"/>
    <col min="7677" max="7677" width="61.453125" style="168" customWidth="1"/>
    <col min="7678" max="7681" width="19.26953125" style="168" customWidth="1"/>
    <col min="7682" max="7682" width="9.26953125" style="168" customWidth="1"/>
    <col min="7683" max="7932" width="10" style="168"/>
    <col min="7933" max="7933" width="61.453125" style="168" customWidth="1"/>
    <col min="7934" max="7937" width="19.26953125" style="168" customWidth="1"/>
    <col min="7938" max="7938" width="9.26953125" style="168" customWidth="1"/>
    <col min="7939" max="8188" width="10" style="168"/>
    <col min="8189" max="8189" width="61.453125" style="168" customWidth="1"/>
    <col min="8190" max="8193" width="19.26953125" style="168" customWidth="1"/>
    <col min="8194" max="8194" width="9.26953125" style="168" customWidth="1"/>
    <col min="8195" max="8444" width="10" style="168"/>
    <col min="8445" max="8445" width="61.453125" style="168" customWidth="1"/>
    <col min="8446" max="8449" width="19.26953125" style="168" customWidth="1"/>
    <col min="8450" max="8450" width="9.26953125" style="168" customWidth="1"/>
    <col min="8451" max="8700" width="10" style="168"/>
    <col min="8701" max="8701" width="61.453125" style="168" customWidth="1"/>
    <col min="8702" max="8705" width="19.26953125" style="168" customWidth="1"/>
    <col min="8706" max="8706" width="9.26953125" style="168" customWidth="1"/>
    <col min="8707" max="8956" width="10" style="168"/>
    <col min="8957" max="8957" width="61.453125" style="168" customWidth="1"/>
    <col min="8958" max="8961" width="19.26953125" style="168" customWidth="1"/>
    <col min="8962" max="8962" width="9.26953125" style="168" customWidth="1"/>
    <col min="8963" max="9212" width="10" style="168"/>
    <col min="9213" max="9213" width="61.453125" style="168" customWidth="1"/>
    <col min="9214" max="9217" width="19.26953125" style="168" customWidth="1"/>
    <col min="9218" max="9218" width="9.26953125" style="168" customWidth="1"/>
    <col min="9219" max="9468" width="10" style="168"/>
    <col min="9469" max="9469" width="61.453125" style="168" customWidth="1"/>
    <col min="9470" max="9473" width="19.26953125" style="168" customWidth="1"/>
    <col min="9474" max="9474" width="9.26953125" style="168" customWidth="1"/>
    <col min="9475" max="9724" width="10" style="168"/>
    <col min="9725" max="9725" width="61.453125" style="168" customWidth="1"/>
    <col min="9726" max="9729" width="19.26953125" style="168" customWidth="1"/>
    <col min="9730" max="9730" width="9.26953125" style="168" customWidth="1"/>
    <col min="9731" max="9980" width="10" style="168"/>
    <col min="9981" max="9981" width="61.453125" style="168" customWidth="1"/>
    <col min="9982" max="9985" width="19.26953125" style="168" customWidth="1"/>
    <col min="9986" max="9986" width="9.26953125" style="168" customWidth="1"/>
    <col min="9987" max="10236" width="10" style="168"/>
    <col min="10237" max="10237" width="61.453125" style="168" customWidth="1"/>
    <col min="10238" max="10241" width="19.26953125" style="168" customWidth="1"/>
    <col min="10242" max="10242" width="9.26953125" style="168" customWidth="1"/>
    <col min="10243" max="10492" width="10" style="168"/>
    <col min="10493" max="10493" width="61.453125" style="168" customWidth="1"/>
    <col min="10494" max="10497" width="19.26953125" style="168" customWidth="1"/>
    <col min="10498" max="10498" width="9.26953125" style="168" customWidth="1"/>
    <col min="10499" max="10748" width="10" style="168"/>
    <col min="10749" max="10749" width="61.453125" style="168" customWidth="1"/>
    <col min="10750" max="10753" width="19.26953125" style="168" customWidth="1"/>
    <col min="10754" max="10754" width="9.26953125" style="168" customWidth="1"/>
    <col min="10755" max="11004" width="10" style="168"/>
    <col min="11005" max="11005" width="61.453125" style="168" customWidth="1"/>
    <col min="11006" max="11009" width="19.26953125" style="168" customWidth="1"/>
    <col min="11010" max="11010" width="9.26953125" style="168" customWidth="1"/>
    <col min="11011" max="11260" width="10" style="168"/>
    <col min="11261" max="11261" width="61.453125" style="168" customWidth="1"/>
    <col min="11262" max="11265" width="19.26953125" style="168" customWidth="1"/>
    <col min="11266" max="11266" width="9.26953125" style="168" customWidth="1"/>
    <col min="11267" max="11516" width="10" style="168"/>
    <col min="11517" max="11517" width="61.453125" style="168" customWidth="1"/>
    <col min="11518" max="11521" width="19.26953125" style="168" customWidth="1"/>
    <col min="11522" max="11522" width="9.26953125" style="168" customWidth="1"/>
    <col min="11523" max="11772" width="10" style="168"/>
    <col min="11773" max="11773" width="61.453125" style="168" customWidth="1"/>
    <col min="11774" max="11777" width="19.26953125" style="168" customWidth="1"/>
    <col min="11778" max="11778" width="9.26953125" style="168" customWidth="1"/>
    <col min="11779" max="12028" width="10" style="168"/>
    <col min="12029" max="12029" width="61.453125" style="168" customWidth="1"/>
    <col min="12030" max="12033" width="19.26953125" style="168" customWidth="1"/>
    <col min="12034" max="12034" width="9.26953125" style="168" customWidth="1"/>
    <col min="12035" max="12284" width="10" style="168"/>
    <col min="12285" max="12285" width="61.453125" style="168" customWidth="1"/>
    <col min="12286" max="12289" width="19.26953125" style="168" customWidth="1"/>
    <col min="12290" max="12290" width="9.26953125" style="168" customWidth="1"/>
    <col min="12291" max="12540" width="10" style="168"/>
    <col min="12541" max="12541" width="61.453125" style="168" customWidth="1"/>
    <col min="12542" max="12545" width="19.26953125" style="168" customWidth="1"/>
    <col min="12546" max="12546" width="9.26953125" style="168" customWidth="1"/>
    <col min="12547" max="12796" width="10" style="168"/>
    <col min="12797" max="12797" width="61.453125" style="168" customWidth="1"/>
    <col min="12798" max="12801" width="19.26953125" style="168" customWidth="1"/>
    <col min="12802" max="12802" width="9.26953125" style="168" customWidth="1"/>
    <col min="12803" max="13052" width="10" style="168"/>
    <col min="13053" max="13053" width="61.453125" style="168" customWidth="1"/>
    <col min="13054" max="13057" width="19.26953125" style="168" customWidth="1"/>
    <col min="13058" max="13058" width="9.26953125" style="168" customWidth="1"/>
    <col min="13059" max="13308" width="10" style="168"/>
    <col min="13309" max="13309" width="61.453125" style="168" customWidth="1"/>
    <col min="13310" max="13313" width="19.26953125" style="168" customWidth="1"/>
    <col min="13314" max="13314" width="9.26953125" style="168" customWidth="1"/>
    <col min="13315" max="13564" width="10" style="168"/>
    <col min="13565" max="13565" width="61.453125" style="168" customWidth="1"/>
    <col min="13566" max="13569" width="19.26953125" style="168" customWidth="1"/>
    <col min="13570" max="13570" width="9.26953125" style="168" customWidth="1"/>
    <col min="13571" max="13820" width="10" style="168"/>
    <col min="13821" max="13821" width="61.453125" style="168" customWidth="1"/>
    <col min="13822" max="13825" width="19.26953125" style="168" customWidth="1"/>
    <col min="13826" max="13826" width="9.26953125" style="168" customWidth="1"/>
    <col min="13827" max="14076" width="10" style="168"/>
    <col min="14077" max="14077" width="61.453125" style="168" customWidth="1"/>
    <col min="14078" max="14081" width="19.26953125" style="168" customWidth="1"/>
    <col min="14082" max="14082" width="9.26953125" style="168" customWidth="1"/>
    <col min="14083" max="14332" width="10" style="168"/>
    <col min="14333" max="14333" width="61.453125" style="168" customWidth="1"/>
    <col min="14334" max="14337" width="19.26953125" style="168" customWidth="1"/>
    <col min="14338" max="14338" width="9.26953125" style="168" customWidth="1"/>
    <col min="14339" max="14588" width="10" style="168"/>
    <col min="14589" max="14589" width="61.453125" style="168" customWidth="1"/>
    <col min="14590" max="14593" width="19.26953125" style="168" customWidth="1"/>
    <col min="14594" max="14594" width="9.26953125" style="168" customWidth="1"/>
    <col min="14595" max="14844" width="10" style="168"/>
    <col min="14845" max="14845" width="61.453125" style="168" customWidth="1"/>
    <col min="14846" max="14849" width="19.26953125" style="168" customWidth="1"/>
    <col min="14850" max="14850" width="9.26953125" style="168" customWidth="1"/>
    <col min="14851" max="15100" width="10" style="168"/>
    <col min="15101" max="15101" width="61.453125" style="168" customWidth="1"/>
    <col min="15102" max="15105" width="19.26953125" style="168" customWidth="1"/>
    <col min="15106" max="15106" width="9.26953125" style="168" customWidth="1"/>
    <col min="15107" max="15356" width="10" style="168"/>
    <col min="15357" max="15357" width="61.453125" style="168" customWidth="1"/>
    <col min="15358" max="15361" width="19.26953125" style="168" customWidth="1"/>
    <col min="15362" max="15362" width="9.26953125" style="168" customWidth="1"/>
    <col min="15363" max="15612" width="10" style="168"/>
    <col min="15613" max="15613" width="61.453125" style="168" customWidth="1"/>
    <col min="15614" max="15617" width="19.26953125" style="168" customWidth="1"/>
    <col min="15618" max="15618" width="9.26953125" style="168" customWidth="1"/>
    <col min="15619" max="15868" width="10" style="168"/>
    <col min="15869" max="15869" width="61.453125" style="168" customWidth="1"/>
    <col min="15870" max="15873" width="19.26953125" style="168" customWidth="1"/>
    <col min="15874" max="15874" width="9.26953125" style="168" customWidth="1"/>
    <col min="15875" max="16124" width="10" style="168"/>
    <col min="16125" max="16125" width="61.453125" style="168" customWidth="1"/>
    <col min="16126" max="16129" width="19.26953125" style="168" customWidth="1"/>
    <col min="16130" max="16130" width="9.26953125" style="168" customWidth="1"/>
    <col min="16131" max="16384" width="10" style="168"/>
  </cols>
  <sheetData>
    <row r="2" spans="2:8" ht="23" x14ac:dyDescent="0.5">
      <c r="B2" s="290" t="s">
        <v>45</v>
      </c>
    </row>
    <row r="4" spans="2:8" x14ac:dyDescent="0.45">
      <c r="B4" s="169" t="s">
        <v>173</v>
      </c>
      <c r="C4" s="170">
        <f>D4-1</f>
        <v>2016</v>
      </c>
      <c r="D4" s="170">
        <f>E4-1</f>
        <v>2017</v>
      </c>
      <c r="E4" s="170">
        <f>F4-1</f>
        <v>2018</v>
      </c>
      <c r="F4" s="170">
        <f>G4-1</f>
        <v>2019</v>
      </c>
      <c r="G4" s="170">
        <v>2020</v>
      </c>
    </row>
    <row r="5" spans="2:8" x14ac:dyDescent="0.45">
      <c r="B5" s="171" t="s">
        <v>174</v>
      </c>
      <c r="C5" s="172">
        <v>49</v>
      </c>
      <c r="D5" s="172">
        <v>49.7</v>
      </c>
      <c r="E5" s="172">
        <v>50.4</v>
      </c>
      <c r="F5" s="172">
        <v>51.2</v>
      </c>
      <c r="G5" s="172">
        <v>52</v>
      </c>
    </row>
    <row r="6" spans="2:8" x14ac:dyDescent="0.45">
      <c r="B6" s="171" t="s">
        <v>175</v>
      </c>
      <c r="C6" s="172">
        <v>34.799999999999997</v>
      </c>
      <c r="D6" s="172">
        <v>36</v>
      </c>
      <c r="E6" s="172">
        <v>37.299999999999997</v>
      </c>
      <c r="F6" s="172">
        <v>38.6</v>
      </c>
      <c r="G6" s="172">
        <v>40</v>
      </c>
    </row>
    <row r="7" spans="2:8" x14ac:dyDescent="0.45">
      <c r="B7" s="173" t="s">
        <v>176</v>
      </c>
      <c r="C7" s="174">
        <f>C5/C6</f>
        <v>1.4080459770114944</v>
      </c>
      <c r="D7" s="174">
        <f t="shared" ref="D7:G7" si="0">D5/D6</f>
        <v>1.3805555555555555</v>
      </c>
      <c r="E7" s="174">
        <f t="shared" si="0"/>
        <v>1.3512064343163539</v>
      </c>
      <c r="F7" s="174">
        <f t="shared" si="0"/>
        <v>1.3264248704663213</v>
      </c>
      <c r="G7" s="174">
        <f t="shared" si="0"/>
        <v>1.3</v>
      </c>
      <c r="H7" s="294"/>
    </row>
    <row r="8" spans="2:8" x14ac:dyDescent="0.45">
      <c r="B8" s="173" t="s">
        <v>177</v>
      </c>
      <c r="C8" s="174"/>
      <c r="D8" s="175">
        <f>(D6-C6)/C6</f>
        <v>3.4482758620689738E-2</v>
      </c>
      <c r="E8" s="175">
        <f t="shared" ref="E8:G8" si="1">(E6-D6)/D6</f>
        <v>3.6111111111111031E-2</v>
      </c>
      <c r="F8" s="175">
        <f t="shared" si="1"/>
        <v>3.4852546916890201E-2</v>
      </c>
      <c r="G8" s="175">
        <f t="shared" si="1"/>
        <v>3.6269430051813434E-2</v>
      </c>
    </row>
    <row r="9" spans="2:8" ht="23" x14ac:dyDescent="0.5">
      <c r="B9" s="173" t="s">
        <v>178</v>
      </c>
      <c r="C9" s="176"/>
      <c r="D9" s="175">
        <f>(D5-C5)/C5</f>
        <v>1.4285714285714344E-2</v>
      </c>
      <c r="E9" s="175">
        <f t="shared" ref="E9:G9" si="2">(E5-D5)/D5</f>
        <v>1.4084507042253435E-2</v>
      </c>
      <c r="F9" s="175">
        <f t="shared" si="2"/>
        <v>1.5873015873015959E-2</v>
      </c>
      <c r="G9" s="175">
        <f t="shared" si="2"/>
        <v>1.5624999999999944E-2</v>
      </c>
    </row>
    <row r="12" spans="2:8" x14ac:dyDescent="0.45">
      <c r="C12" s="179"/>
    </row>
    <row r="13" spans="2:8" x14ac:dyDescent="0.45">
      <c r="C13" s="179"/>
    </row>
    <row r="14" spans="2:8" x14ac:dyDescent="0.45">
      <c r="C14" s="180"/>
    </row>
    <row r="16" spans="2:8" ht="23.5" thickBot="1" x14ac:dyDescent="0.55000000000000004">
      <c r="E16" s="178"/>
    </row>
    <row r="17" spans="2:2" ht="23" thickTop="1" x14ac:dyDescent="0.45"/>
    <row r="19" spans="2:2" ht="23" x14ac:dyDescent="0.5">
      <c r="B19" s="177"/>
    </row>
    <row r="24" spans="2:2" x14ac:dyDescent="0.45">
      <c r="B24" s="181"/>
    </row>
    <row r="25" spans="2:2" x14ac:dyDescent="0.45">
      <c r="B25" s="181"/>
    </row>
    <row r="28" spans="2:2" x14ac:dyDescent="0.45">
      <c r="B28" s="181"/>
    </row>
    <row r="31" spans="2:2" x14ac:dyDescent="0.45">
      <c r="B31" s="181"/>
    </row>
    <row r="32" spans="2:2" x14ac:dyDescent="0.45">
      <c r="B32" s="181"/>
    </row>
    <row r="33" spans="2:2" x14ac:dyDescent="0.45">
      <c r="B33" s="181"/>
    </row>
    <row r="34" spans="2:2" x14ac:dyDescent="0.45">
      <c r="B34" s="181"/>
    </row>
    <row r="35" spans="2:2" x14ac:dyDescent="0.45">
      <c r="B35" s="181"/>
    </row>
  </sheetData>
  <printOptions horizontalCentered="1"/>
  <pageMargins left="0.35433070866141736" right="0.35433070866141736" top="0.98425196850393704" bottom="0.98425196850393704" header="0.51181102362204722" footer="0.51181102362204722"/>
  <pageSetup paperSize="9" scale="70" fitToHeight="2" orientation="portrait" r:id="rId1"/>
  <headerFooter alignWithMargins="0"/>
  <rowBreaks count="1" manualBreakCount="1">
    <brk id="17" min="1" max="6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.5" x14ac:dyDescent="0.25"/>
  <sheetData/>
  <pageMargins left="0.7" right="0.7" top="0.75" bottom="0.75" header="0.3" footer="0.3"/>
  <customProperties>
    <customPr name="LinkingMetadata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Equity valuation</vt:lpstr>
      <vt:lpstr>Cost of Equity</vt:lpstr>
      <vt:lpstr>Debt Capital</vt:lpstr>
      <vt:lpstr>WACC</vt:lpstr>
      <vt:lpstr>Projects</vt:lpstr>
      <vt:lpstr>Investment Appraisal</vt:lpstr>
      <vt:lpstr>Optimal capital with tax</vt:lpstr>
      <vt:lpstr>Optimal dividend policy</vt:lpstr>
      <vt:lpstr>'Cost of Equity'!Print_Area</vt:lpstr>
      <vt:lpstr>'Debt Capital'!Print_Area</vt:lpstr>
      <vt:lpstr>'Equity valuation'!Print_Area</vt:lpstr>
      <vt:lpstr>'Investment Appraisal'!Print_Area</vt:lpstr>
      <vt:lpstr>'Optimal capital with tax'!Print_Area</vt:lpstr>
      <vt:lpstr>'Optimal dividend policy'!Print_Area</vt:lpstr>
      <vt:lpstr>Projects!Print_Area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FPT SHOP</cp:lastModifiedBy>
  <cp:lastPrinted>2019-11-21T15:21:13Z</cp:lastPrinted>
  <dcterms:created xsi:type="dcterms:W3CDTF">1996-10-14T23:33:28Z</dcterms:created>
  <dcterms:modified xsi:type="dcterms:W3CDTF">2021-01-19T20:28:44Z</dcterms:modified>
</cp:coreProperties>
</file>