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5"/>
  </bookViews>
  <sheets>
    <sheet name="XL" sheetId="1" r:id="rId1"/>
    <sheet name="CapNuoc" sheetId="2" r:id="rId2"/>
    <sheet name="BDS" sheetId="5" r:id="rId3"/>
    <sheet name="Dat nen" sheetId="3" r:id="rId4"/>
    <sheet name="Can Ho" sheetId="4" r:id="rId5"/>
    <sheet name="KH 2016" sheetId="6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C11" i="6"/>
  <c r="E22"/>
  <c r="E30"/>
  <c r="E18" i="4"/>
  <c r="E13"/>
  <c r="D30" i="6"/>
  <c r="C36"/>
  <c r="C24"/>
  <c r="D24" s="1"/>
  <c r="C23"/>
  <c r="D23" s="1"/>
  <c r="C22"/>
  <c r="D22" s="1"/>
  <c r="C97" i="3"/>
  <c r="C96"/>
  <c r="C95"/>
  <c r="J32" i="5"/>
  <c r="C40" i="6"/>
  <c r="C39"/>
  <c r="C29"/>
  <c r="D29" s="1"/>
  <c r="E29" s="1"/>
  <c r="C21"/>
  <c r="E19" i="4"/>
  <c r="E17"/>
  <c r="E16"/>
  <c r="E15"/>
  <c r="E14"/>
  <c r="E12"/>
  <c r="E11"/>
  <c r="E10"/>
  <c r="E9"/>
  <c r="E8"/>
  <c r="E7"/>
  <c r="E6"/>
  <c r="E5"/>
  <c r="J93" i="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4"/>
  <c r="I5"/>
  <c r="I6"/>
  <c r="I7"/>
  <c r="I8"/>
  <c r="C7" i="6"/>
  <c r="C37" s="1"/>
  <c r="C6"/>
  <c r="E25"/>
  <c r="D28"/>
  <c r="D27"/>
  <c r="D26"/>
  <c r="C25"/>
  <c r="E9"/>
  <c r="E8"/>
  <c r="C8"/>
  <c r="E4"/>
  <c r="E10" s="1"/>
  <c r="E12" s="1"/>
  <c r="Q36" i="5"/>
  <c r="O36"/>
  <c r="M36"/>
  <c r="P35"/>
  <c r="N35"/>
  <c r="K35"/>
  <c r="J35"/>
  <c r="N34"/>
  <c r="P34" s="1"/>
  <c r="R34" s="1"/>
  <c r="R33"/>
  <c r="P33"/>
  <c r="K33"/>
  <c r="J33"/>
  <c r="K32"/>
  <c r="Q25"/>
  <c r="O25"/>
  <c r="M25"/>
  <c r="R23"/>
  <c r="R35" s="1"/>
  <c r="P23"/>
  <c r="P24" s="1"/>
  <c r="N23"/>
  <c r="L23"/>
  <c r="L35" s="1"/>
  <c r="J23"/>
  <c r="R19"/>
  <c r="R20" s="1"/>
  <c r="P19"/>
  <c r="P20" s="1"/>
  <c r="N19"/>
  <c r="N33" s="1"/>
  <c r="L19"/>
  <c r="L33" s="1"/>
  <c r="J19"/>
  <c r="O17"/>
  <c r="F17"/>
  <c r="D17"/>
  <c r="C17"/>
  <c r="I16"/>
  <c r="H16"/>
  <c r="P16" s="1"/>
  <c r="E16"/>
  <c r="P15"/>
  <c r="L15"/>
  <c r="I15"/>
  <c r="H15"/>
  <c r="R15" s="1"/>
  <c r="G15"/>
  <c r="E15"/>
  <c r="R14"/>
  <c r="P14"/>
  <c r="L14"/>
  <c r="J14"/>
  <c r="I14"/>
  <c r="H14"/>
  <c r="N14" s="1"/>
  <c r="G14"/>
  <c r="E14"/>
  <c r="L13"/>
  <c r="J13"/>
  <c r="P12"/>
  <c r="L12"/>
  <c r="I12"/>
  <c r="H12"/>
  <c r="R12" s="1"/>
  <c r="G12"/>
  <c r="E12"/>
  <c r="J11"/>
  <c r="H11"/>
  <c r="L10"/>
  <c r="I10"/>
  <c r="H10"/>
  <c r="R10" s="1"/>
  <c r="G10"/>
  <c r="E10"/>
  <c r="P9"/>
  <c r="L9"/>
  <c r="I9"/>
  <c r="H9"/>
  <c r="R9" s="1"/>
  <c r="G9"/>
  <c r="E9"/>
  <c r="R8"/>
  <c r="P8"/>
  <c r="L8"/>
  <c r="J8"/>
  <c r="I8"/>
  <c r="H8"/>
  <c r="N8" s="1"/>
  <c r="G8"/>
  <c r="E8"/>
  <c r="P7"/>
  <c r="L7"/>
  <c r="J7"/>
  <c r="I7"/>
  <c r="H7"/>
  <c r="N7" s="1"/>
  <c r="G7"/>
  <c r="E7"/>
  <c r="P6"/>
  <c r="L6"/>
  <c r="J6"/>
  <c r="I6"/>
  <c r="H6"/>
  <c r="N6" s="1"/>
  <c r="G6"/>
  <c r="E6"/>
  <c r="D17" i="4"/>
  <c r="D16"/>
  <c r="D15"/>
  <c r="D18" s="1"/>
  <c r="D12"/>
  <c r="D11"/>
  <c r="D10"/>
  <c r="D9"/>
  <c r="D8"/>
  <c r="D7"/>
  <c r="D6"/>
  <c r="D5"/>
  <c r="D13" s="1"/>
  <c r="D19" s="1"/>
  <c r="I92" i="3"/>
  <c r="I91"/>
  <c r="F89"/>
  <c r="I88"/>
  <c r="I87"/>
  <c r="I86"/>
  <c r="I84"/>
  <c r="I83"/>
  <c r="I81"/>
  <c r="I80"/>
  <c r="I79"/>
  <c r="I77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6"/>
  <c r="I55"/>
  <c r="I54"/>
  <c r="I53"/>
  <c r="I52"/>
  <c r="I51"/>
  <c r="I50"/>
  <c r="I49"/>
  <c r="I48"/>
  <c r="I47"/>
  <c r="I46"/>
  <c r="I45"/>
  <c r="I44"/>
  <c r="I43"/>
  <c r="I41"/>
  <c r="I40"/>
  <c r="I38"/>
  <c r="I36"/>
  <c r="I34"/>
  <c r="I33"/>
  <c r="I32"/>
  <c r="I31"/>
  <c r="I30"/>
  <c r="I29"/>
  <c r="I27"/>
  <c r="I24"/>
  <c r="I23"/>
  <c r="I22"/>
  <c r="I21"/>
  <c r="I20"/>
  <c r="I19"/>
  <c r="I18"/>
  <c r="I17"/>
  <c r="I16"/>
  <c r="I14"/>
  <c r="I13"/>
  <c r="I11"/>
  <c r="I10"/>
  <c r="I9"/>
  <c r="H5"/>
  <c r="M11" i="2"/>
  <c r="I11"/>
  <c r="G11"/>
  <c r="F11"/>
  <c r="E11"/>
  <c r="C11"/>
  <c r="Q10"/>
  <c r="P10"/>
  <c r="O10"/>
  <c r="N10"/>
  <c r="K10"/>
  <c r="K11" s="1"/>
  <c r="D10"/>
  <c r="O9"/>
  <c r="P9" s="1"/>
  <c r="Q9" s="1"/>
  <c r="N9"/>
  <c r="K9"/>
  <c r="H9"/>
  <c r="H11" s="1"/>
  <c r="D9"/>
  <c r="N8"/>
  <c r="O8" s="1"/>
  <c r="P8" s="1"/>
  <c r="Q8" s="1"/>
  <c r="K8"/>
  <c r="D8"/>
  <c r="P7"/>
  <c r="Q7" s="1"/>
  <c r="Q11" s="1"/>
  <c r="O7"/>
  <c r="O11" s="1"/>
  <c r="N7"/>
  <c r="N11" s="1"/>
  <c r="K7"/>
  <c r="D7"/>
  <c r="K6"/>
  <c r="D6"/>
  <c r="K5"/>
  <c r="D5"/>
  <c r="D11" s="1"/>
  <c r="G13" i="1"/>
  <c r="F13"/>
  <c r="H12"/>
  <c r="H13" s="1"/>
  <c r="G12"/>
  <c r="F12"/>
  <c r="E12"/>
  <c r="E13" s="1"/>
  <c r="D12"/>
  <c r="I12" s="1"/>
  <c r="C12"/>
  <c r="I11"/>
  <c r="C11"/>
  <c r="I10"/>
  <c r="I9"/>
  <c r="C9"/>
  <c r="I8"/>
  <c r="I7"/>
  <c r="I6"/>
  <c r="I5"/>
  <c r="C5"/>
  <c r="D21" i="6" l="1"/>
  <c r="D31" s="1"/>
  <c r="E21"/>
  <c r="E31" s="1"/>
  <c r="K36" i="5"/>
  <c r="D25" i="6"/>
  <c r="C38" s="1"/>
  <c r="I93" i="3"/>
  <c r="L17" i="5"/>
  <c r="L25"/>
  <c r="L32"/>
  <c r="L36" s="1"/>
  <c r="L37" s="1"/>
  <c r="L38" s="1"/>
  <c r="R17"/>
  <c r="N10"/>
  <c r="N17" s="1"/>
  <c r="N20"/>
  <c r="L24"/>
  <c r="N9"/>
  <c r="N12"/>
  <c r="N15"/>
  <c r="R16"/>
  <c r="H17"/>
  <c r="L20"/>
  <c r="R24"/>
  <c r="J9"/>
  <c r="J17" s="1"/>
  <c r="P10"/>
  <c r="P17" s="1"/>
  <c r="J12"/>
  <c r="J15"/>
  <c r="N16"/>
  <c r="N24"/>
  <c r="L28"/>
  <c r="J10"/>
  <c r="P11" i="2"/>
  <c r="C35" i="6" l="1"/>
  <c r="C34" s="1"/>
  <c r="C33" s="1"/>
  <c r="C9" s="1"/>
  <c r="F9" s="1"/>
  <c r="C31"/>
  <c r="J36" i="5"/>
  <c r="J25"/>
  <c r="J28" s="1"/>
  <c r="L18"/>
  <c r="P32"/>
  <c r="P36" s="1"/>
  <c r="P25"/>
  <c r="P18"/>
  <c r="N25"/>
  <c r="N18"/>
  <c r="N32"/>
  <c r="N36" s="1"/>
  <c r="R32"/>
  <c r="R36" s="1"/>
  <c r="R18"/>
  <c r="R25"/>
  <c r="L39"/>
  <c r="C5" i="6" l="1"/>
  <c r="C4" s="1"/>
  <c r="R37" i="5"/>
  <c r="R38" s="1"/>
  <c r="R39"/>
  <c r="N26"/>
  <c r="N28"/>
  <c r="N37"/>
  <c r="N38" s="1"/>
  <c r="N39"/>
  <c r="P26"/>
  <c r="P28"/>
  <c r="J37"/>
  <c r="J38" s="1"/>
  <c r="J39"/>
  <c r="L26"/>
  <c r="R26"/>
  <c r="R28"/>
  <c r="P37"/>
  <c r="P38" s="1"/>
  <c r="P39"/>
  <c r="C10" i="6" l="1"/>
  <c r="F10" s="1"/>
  <c r="F4"/>
  <c r="F11" l="1"/>
  <c r="C12" l="1"/>
  <c r="F12" s="1"/>
</calcChain>
</file>

<file path=xl/sharedStrings.xml><?xml version="1.0" encoding="utf-8"?>
<sst xmlns="http://schemas.openxmlformats.org/spreadsheetml/2006/main" count="443" uniqueCount="228">
  <si>
    <t>DOANH THU XÂY LẮP 5 NĂM</t>
  </si>
  <si>
    <t>ĐVT: 1.000đ</t>
  </si>
  <si>
    <t>TT</t>
  </si>
  <si>
    <t>DỰ ÁN</t>
  </si>
  <si>
    <t>Giá trị Hợp đồng</t>
  </si>
  <si>
    <t>Doanh thu</t>
  </si>
  <si>
    <t>HT Xử lý nước thải Sơn Trà</t>
  </si>
  <si>
    <t>Chung cư E2 Nam cầu cẩm lệ</t>
  </si>
  <si>
    <t>Hệ thống Cấp nước Huyện Củ Chi, TP HCM</t>
  </si>
  <si>
    <t>Nhà máy nước Phú Ninh, tỉnh Quảng Nam</t>
  </si>
  <si>
    <t>Xây lắp Hệ thống cung cấp nước Tây nguyên</t>
  </si>
  <si>
    <t>Nhà máy nước Khu Kinh tế Đông Nam, tỉnh Quảng Trị</t>
  </si>
  <si>
    <t>Xây lắp khác</t>
  </si>
  <si>
    <t>Cộng</t>
  </si>
  <si>
    <t>DANH MỤC ĐẦU TƯ</t>
  </si>
  <si>
    <t>DVT: 1.000 đồng</t>
  </si>
  <si>
    <t>Stt</t>
  </si>
  <si>
    <t>Tên dự án</t>
  </si>
  <si>
    <t>Tổng mức đầu tư</t>
  </si>
  <si>
    <t>Vay + Vốn ĐL</t>
  </si>
  <si>
    <t>Vay</t>
  </si>
  <si>
    <t>Lỗ</t>
  </si>
  <si>
    <t>VĐL</t>
  </si>
  <si>
    <t>Vốn đã góp</t>
  </si>
  <si>
    <t>Công suất (m3/ngd)</t>
  </si>
  <si>
    <t>Tỉ lệ vốn góp của NDN (%)</t>
  </si>
  <si>
    <t>NDN</t>
  </si>
  <si>
    <t>Thời gian triển khai</t>
  </si>
  <si>
    <t>DOANH THU CẤP NƯỚC</t>
  </si>
  <si>
    <t>2016</t>
  </si>
  <si>
    <t>2017</t>
  </si>
  <si>
    <t>2018</t>
  </si>
  <si>
    <t>2019</t>
  </si>
  <si>
    <t>2020</t>
  </si>
  <si>
    <t>NMN Phú Ninh</t>
  </si>
  <si>
    <t>2016-2019</t>
  </si>
  <si>
    <t>NMN KKT Đông Nam Quảng Trị</t>
  </si>
  <si>
    <t>2018-2020</t>
  </si>
  <si>
    <t>NMN An Khê, Tỉnh Gia Lai</t>
  </si>
  <si>
    <t>NMN Ngọc Hồi, tỉnh Kontum</t>
  </si>
  <si>
    <t>NMN Dankia, Lâm Đồng</t>
  </si>
  <si>
    <t>2012-2014</t>
  </si>
  <si>
    <t>NMN Saigon Pleiku, tỉnh Gia Lai</t>
  </si>
  <si>
    <t>2014-2015</t>
  </si>
  <si>
    <t>I/ KHU BẮC PHAN BÁ PHIẾN</t>
  </si>
  <si>
    <t>D</t>
  </si>
  <si>
    <t>R</t>
  </si>
  <si>
    <t>S</t>
  </si>
  <si>
    <t>Vũ Đình Long 7.5</t>
  </si>
  <si>
    <t>L4</t>
  </si>
  <si>
    <t>Đinh Công Trứ 10.5</t>
  </si>
  <si>
    <t>33 (nhà mẫu)</t>
  </si>
  <si>
    <t>L6</t>
  </si>
  <si>
    <t>34 (nhà mẫu)</t>
  </si>
  <si>
    <t>Y tế - Giáo dục</t>
  </si>
  <si>
    <t>L7</t>
  </si>
  <si>
    <t>24 (ngã 3)</t>
  </si>
  <si>
    <t>L9</t>
  </si>
  <si>
    <t>Phan Bá Phiến</t>
  </si>
  <si>
    <t>43 A</t>
  </si>
  <si>
    <t>Đinh Công Trứ  10.5</t>
  </si>
  <si>
    <t>9 (ngã 3)</t>
  </si>
  <si>
    <t>L11</t>
  </si>
  <si>
    <t>Võ Duy Ninh 7,5m</t>
  </si>
  <si>
    <t xml:space="preserve">NDN </t>
  </si>
  <si>
    <t>27,86+26,72</t>
  </si>
  <si>
    <t>26,28+26,1</t>
  </si>
  <si>
    <t>Đã bán, qua lễ công chứng</t>
  </si>
  <si>
    <t>25+31,2</t>
  </si>
  <si>
    <t>30,2+31,2</t>
  </si>
  <si>
    <t>6,2+10,4</t>
  </si>
  <si>
    <t>II/ KHU HÒA PHÁT 3 MR:</t>
  </si>
  <si>
    <t>5,5 m (túm)</t>
  </si>
  <si>
    <t>Lô 15</t>
  </si>
  <si>
    <t>B5</t>
  </si>
  <si>
    <t>9,2+4</t>
  </si>
  <si>
    <t>Đoàn Hữu Trung 7.5</t>
  </si>
  <si>
    <t>Lô 16</t>
  </si>
  <si>
    <t>B6</t>
  </si>
  <si>
    <t>Lô 17</t>
  </si>
  <si>
    <t>Lô 18</t>
  </si>
  <si>
    <t>Lô 19</t>
  </si>
  <si>
    <t>Lô 20</t>
  </si>
  <si>
    <t>Lô 21</t>
  </si>
  <si>
    <t>Lô 22</t>
  </si>
  <si>
    <t>Lô 23</t>
  </si>
  <si>
    <t>III/KHU BẮC HÒA CẦM</t>
  </si>
  <si>
    <t>Phân khu B1</t>
  </si>
  <si>
    <t>Lô</t>
  </si>
  <si>
    <t>B1</t>
  </si>
  <si>
    <t>Hồ Sỹ Dương</t>
  </si>
  <si>
    <t>Phân khu B2</t>
  </si>
  <si>
    <t>B2</t>
  </si>
  <si>
    <t>Bầu Gia Thượng 2</t>
  </si>
  <si>
    <t>BT 5 m</t>
  </si>
  <si>
    <t>(7,4+18)/2</t>
  </si>
  <si>
    <t>Phân khu B3</t>
  </si>
  <si>
    <t>B3</t>
  </si>
  <si>
    <t>Phân khu B4</t>
  </si>
  <si>
    <t>B4</t>
  </si>
  <si>
    <t>Bầu Gia Thượng 3</t>
  </si>
  <si>
    <t>Phân khu B6</t>
  </si>
  <si>
    <t>Phạm Viết Chánh</t>
  </si>
  <si>
    <t>Hồ Sĩ Dương</t>
  </si>
  <si>
    <t>Phân khu B7</t>
  </si>
  <si>
    <t>B7</t>
  </si>
  <si>
    <t>13B</t>
  </si>
  <si>
    <t>14B</t>
  </si>
  <si>
    <t>15B</t>
  </si>
  <si>
    <t>16B</t>
  </si>
  <si>
    <t>17B</t>
  </si>
  <si>
    <t>18B</t>
  </si>
  <si>
    <t>19B</t>
  </si>
  <si>
    <t>Phân khu B8</t>
  </si>
  <si>
    <t>B8</t>
  </si>
  <si>
    <t>Tháng 9/2016</t>
  </si>
  <si>
    <t>Phân khu B10</t>
  </si>
  <si>
    <t>B10</t>
  </si>
  <si>
    <t>Nguyễn Phước Tần</t>
  </si>
  <si>
    <t>Phân khu B11</t>
  </si>
  <si>
    <t>B11</t>
  </si>
  <si>
    <t>Phân khu B12</t>
  </si>
  <si>
    <t>B12</t>
  </si>
  <si>
    <t>Phân khu B13</t>
  </si>
  <si>
    <t>B13</t>
  </si>
  <si>
    <t>A2</t>
  </si>
  <si>
    <t>BT 5m</t>
  </si>
  <si>
    <t>Căn Hộ</t>
  </si>
  <si>
    <t>S thông thủy</t>
  </si>
  <si>
    <t>S sàn</t>
  </si>
  <si>
    <t>Giá đã CK 7%</t>
  </si>
  <si>
    <t>I-Lapaz Tower</t>
  </si>
  <si>
    <t>S305</t>
  </si>
  <si>
    <t>S405</t>
  </si>
  <si>
    <t>S505</t>
  </si>
  <si>
    <t>S605</t>
  </si>
  <si>
    <t>S705</t>
  </si>
  <si>
    <t>S304</t>
  </si>
  <si>
    <t>P1703</t>
  </si>
  <si>
    <t>P1705</t>
  </si>
  <si>
    <t>T.Cộng</t>
  </si>
  <si>
    <t>II-DaNang Plaza</t>
  </si>
  <si>
    <t>B4*T18</t>
  </si>
  <si>
    <t>B5*T19</t>
  </si>
  <si>
    <t>A1*T18+19</t>
  </si>
  <si>
    <t>BẢNG GIÁ QUÝ 2/2016</t>
  </si>
  <si>
    <t>ĐVT: đồng</t>
  </si>
  <si>
    <t>BẢNG GIÁ CĂN HỘ QUÝ 2/2016</t>
  </si>
  <si>
    <t>BẢNG TỔNG HỢP CÁC DỰ ÁN BĐS CÔNG TY 03/2016</t>
  </si>
  <si>
    <t>STT</t>
  </si>
  <si>
    <t>TÊN DỰ ÁN</t>
  </si>
  <si>
    <t>TMĐT</t>
  </si>
  <si>
    <t>DOANH THU BĐS</t>
  </si>
  <si>
    <t>TỶ LỆ KHAI THÁC ĐẾN 31/12/2015</t>
  </si>
  <si>
    <t xml:space="preserve">KH DOANH THU 5 NĂM </t>
  </si>
  <si>
    <t>Ghi chú</t>
  </si>
  <si>
    <t>Định giá 2016</t>
  </si>
  <si>
    <t>Đã thực hiện đến 2015</t>
  </si>
  <si>
    <t>Còn lại từ 01/2016</t>
  </si>
  <si>
    <t>A</t>
  </si>
  <si>
    <t>DA Đã thực hiên</t>
  </si>
  <si>
    <t>DaNang Plaza, 16 Trần Phú, Q. Hải Châu</t>
  </si>
  <si>
    <t>Lapaz Tower, 38 Nguyễn Chí Thanh, Q. Hải Châu</t>
  </si>
  <si>
    <t>KDC Green Lake, Q. Cẩm Lệ</t>
  </si>
  <si>
    <t>KDC OceanView, Q. Sơn Trà</t>
  </si>
  <si>
    <t>KDC An Phát, Q. Cẩm Lệ</t>
  </si>
  <si>
    <t>B</t>
  </si>
  <si>
    <t>DA Đang thực hiên</t>
  </si>
  <si>
    <t>CC The Monarchy ĐN A</t>
  </si>
  <si>
    <t>C</t>
  </si>
  <si>
    <t>DA Sắp triển khai</t>
  </si>
  <si>
    <t>CC The Monarchy Block B</t>
  </si>
  <si>
    <t>CC Paracel Phan Đăng Lưu, Q. Hải Châu (Khởi công 2017)</t>
  </si>
  <si>
    <t>Các Dự án khác KHÁC</t>
  </si>
  <si>
    <t>TỔNG CỘNG BĐS</t>
  </si>
  <si>
    <t>Kinh Doanh BĐS</t>
  </si>
  <si>
    <t>Xây lắp</t>
  </si>
  <si>
    <t>Nhà máy nước</t>
  </si>
  <si>
    <t>Tăng tỉ trọng CN/ Tổng doanh thu</t>
  </si>
  <si>
    <t>Mức tăng 30% MỖI NĂM</t>
  </si>
  <si>
    <t>LSTT</t>
  </si>
  <si>
    <t>BĐS</t>
  </si>
  <si>
    <t>Đầu tư TC</t>
  </si>
  <si>
    <t>LN GOP</t>
  </si>
  <si>
    <t>LNST</t>
  </si>
  <si>
    <t>CN</t>
  </si>
  <si>
    <t>Biểu đồ vòng trong</t>
  </si>
  <si>
    <t>Chỉ Tiêu</t>
  </si>
  <si>
    <t>Tăng trưởng</t>
  </si>
  <si>
    <t>Cấp nước</t>
  </si>
  <si>
    <t>HĐ khác</t>
  </si>
  <si>
    <t>Tổng chi phí</t>
  </si>
  <si>
    <t>LN trước Thuế</t>
  </si>
  <si>
    <t>Thuế TNDN</t>
  </si>
  <si>
    <t>LN sau Thuế</t>
  </si>
  <si>
    <t>Doanh thu tổng</t>
  </si>
  <si>
    <t>Doanh thu 2016</t>
  </si>
  <si>
    <t>Giá vốn</t>
  </si>
  <si>
    <t>Dự án đất nền</t>
  </si>
  <si>
    <t>Lô lớn</t>
  </si>
  <si>
    <t>Nguyễn Hữu Thọ</t>
  </si>
  <si>
    <t>Phan Đăng Lưu</t>
  </si>
  <si>
    <t>Huỳnh Tấn Phát</t>
  </si>
  <si>
    <t>Monarchy A</t>
  </si>
  <si>
    <t>Tổng cộng</t>
  </si>
  <si>
    <t>Chi phí</t>
  </si>
  <si>
    <t>XL</t>
  </si>
  <si>
    <t>Bán hàng</t>
  </si>
  <si>
    <t xml:space="preserve">Chi phí quản lý </t>
  </si>
  <si>
    <t>Chi phí tài chính</t>
  </si>
  <si>
    <t>Các giả định</t>
  </si>
  <si>
    <t>Giả đinh năm 2016 tiêu thụ 70% các dự án đất nền, căn hộ còn lại</t>
  </si>
  <si>
    <t>Giả điịnh tỷ suất LN gộp các dự án BĐS là 35% (tỷ suất tương đương năm 2015)</t>
  </si>
  <si>
    <t>Cấp nước năm đầu tiên chưa đem lại lợi nhuận</t>
  </si>
  <si>
    <t>chi phí bán hàng trả cho các lô lớn 1% môi giới, còn chi phí bán hàng các dự án khác 3% trả cho sàn được loại trừ doanh thu, chi phí nội bộ</t>
  </si>
  <si>
    <t>giá vốn sổ sách kế toán</t>
  </si>
  <si>
    <t>Lãi tiền gửi</t>
  </si>
  <si>
    <t>Thành tiền sau CK 7%</t>
  </si>
  <si>
    <t>ước tính = chi phí quý 1/2016 * 4</t>
  </si>
  <si>
    <t>BPBP</t>
  </si>
  <si>
    <t>Hòa cầm</t>
  </si>
  <si>
    <t>Hòa phát 3MR</t>
  </si>
  <si>
    <t>hết giá vốn</t>
  </si>
  <si>
    <t>BẢNG TÍNH DỰ KIẾN KQKD NĂM 2016</t>
  </si>
  <si>
    <t>chi phí lãi vay cho xe + lỗ chứng khoán (ước tính theo 2015)</t>
  </si>
  <si>
    <t>Các ô tô màu vàng là khách đã đặt cọc</t>
  </si>
  <si>
    <t>Căn hộ (Lapaz + Danang)</t>
  </si>
  <si>
    <t>LN từ hđ xây lắp là 3% doanh thu</t>
  </si>
</sst>
</file>

<file path=xl/styles.xml><?xml version="1.0" encoding="utf-8"?>
<styleSheet xmlns="http://schemas.openxmlformats.org/spreadsheetml/2006/main">
  <numFmts count="2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 &quot;\&quot;* #,##0_ ;_ &quot;\&quot;* \-#,##0_ ;_ &quot;\&quot;* &quot;-&quot;_ ;_ @_ "/>
    <numFmt numFmtId="166" formatCode="_ &quot;\&quot;* #,##0.00_ ;_ &quot;\&quot;* \-#,##0.00_ ;_ &quot;\&quot;* &quot;-&quot;??_ ;_ @_ 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  <numFmt numFmtId="170" formatCode="_-* #,##0.00\ _₫_-;\-* #,##0.00\ _₫_-;_-* &quot;-&quot;??\ _₫_-;_-@_-"/>
    <numFmt numFmtId="171" formatCode="[$-F800]dddd\,\ mmmm\ dd\,\ yyyy"/>
    <numFmt numFmtId="172" formatCode="&quot;\&quot;#,##0;[Red]&quot;\&quot;\-#,##0"/>
    <numFmt numFmtId="173" formatCode="_-* #,##0.00\ _€_-;\-* #,##0.00\ _€_-;_-* &quot;-&quot;??\ _€_-;_-@_-"/>
    <numFmt numFmtId="174" formatCode="\$#,##0\ ;\(\$#,##0\)"/>
    <numFmt numFmtId="175" formatCode="0.0##"/>
    <numFmt numFmtId="176" formatCode="&quot;\&quot;#,##0;[Red]&quot;\&quot;&quot;\&quot;\-#,##0"/>
    <numFmt numFmtId="177" formatCode="&quot;\&quot;#,##0.00;[Red]&quot;\&quot;&quot;\&quot;&quot;\&quot;&quot;\&quot;&quot;\&quot;&quot;\&quot;\-#,##0.00"/>
    <numFmt numFmtId="178" formatCode="&quot;\&quot;#,##0.00;[Red]&quot;\&quot;\-#,##0.00"/>
    <numFmt numFmtId="179" formatCode="dd/mm/yyyy;@"/>
    <numFmt numFmtId="180" formatCode="#,##0.0"/>
    <numFmt numFmtId="181" formatCode="0.0%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4"/>
      <name val="Times New Roman"/>
      <family val="1"/>
    </font>
    <font>
      <i/>
      <sz val="11"/>
      <color indexed="23"/>
      <name val="Calibri"/>
      <family val="2"/>
    </font>
    <font>
      <b/>
      <sz val="16"/>
      <color indexed="16"/>
      <name val="VNbritannic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VNtimes new roman"/>
      <family val="2"/>
    </font>
    <font>
      <sz val="12"/>
      <name val="宋体"/>
      <charset val="134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rgb="FFFF0000"/>
      <name val="Arial"/>
      <family val="2"/>
    </font>
    <font>
      <b/>
      <sz val="13"/>
      <color indexed="8"/>
      <name val="Times New Roman"/>
      <family val="1"/>
    </font>
    <font>
      <sz val="12"/>
      <color indexed="30"/>
      <name val="Times New Roman"/>
      <family val="1"/>
    </font>
    <font>
      <sz val="12"/>
      <name val="Times New Roman"/>
      <family val="1"/>
    </font>
    <font>
      <sz val="10"/>
      <color indexed="8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0"/>
      <name val="Arial"/>
      <family val="2"/>
    </font>
    <font>
      <i/>
      <sz val="10"/>
      <name val="Arial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4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5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3" borderId="0" applyNumberFormat="0" applyBorder="0" applyAlignment="0" applyProtection="0"/>
    <xf numFmtId="0" fontId="9" fillId="0" borderId="0"/>
    <xf numFmtId="0" fontId="11" fillId="0" borderId="0"/>
    <xf numFmtId="0" fontId="9" fillId="0" borderId="0"/>
    <xf numFmtId="0" fontId="12" fillId="20" borderId="7" applyNumberFormat="0" applyAlignment="0" applyProtection="0"/>
    <xf numFmtId="0" fontId="12" fillId="20" borderId="7" applyNumberFormat="0" applyAlignment="0" applyProtection="0"/>
    <xf numFmtId="0" fontId="12" fillId="20" borderId="7" applyNumberFormat="0" applyAlignment="0" applyProtection="0"/>
    <xf numFmtId="0" fontId="13" fillId="21" borderId="8" applyNumberFormat="0" applyAlignment="0" applyProtection="0"/>
    <xf numFmtId="41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9" applyNumberFormat="0" applyAlignment="0" applyProtection="0">
      <alignment horizontal="left" vertical="center"/>
    </xf>
    <xf numFmtId="0" fontId="19" fillId="0" borderId="4">
      <alignment horizontal="left" vertical="center"/>
    </xf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7" applyNumberFormat="0" applyAlignment="0" applyProtection="0"/>
    <xf numFmtId="0" fontId="24" fillId="7" borderId="7" applyNumberFormat="0" applyAlignment="0" applyProtection="0"/>
    <xf numFmtId="0" fontId="24" fillId="7" borderId="7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13" applyNumberFormat="0" applyFill="0" applyAlignment="0" applyProtection="0"/>
    <xf numFmtId="0" fontId="26" fillId="0" borderId="0" applyNumberFormat="0" applyFont="0" applyFill="0" applyAlignment="0"/>
    <xf numFmtId="0" fontId="27" fillId="22" borderId="0" applyNumberFormat="0" applyBorder="0" applyAlignment="0" applyProtection="0"/>
    <xf numFmtId="175" fontId="28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5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23" borderId="14" applyNumberFormat="0" applyFont="0" applyAlignment="0" applyProtection="0"/>
    <xf numFmtId="0" fontId="29" fillId="23" borderId="14" applyNumberFormat="0" applyFont="0" applyAlignment="0" applyProtection="0"/>
    <xf numFmtId="0" fontId="14" fillId="23" borderId="14" applyNumberFormat="0" applyFont="0" applyAlignment="0" applyProtection="0"/>
    <xf numFmtId="0" fontId="30" fillId="20" borderId="15" applyNumberFormat="0" applyAlignment="0" applyProtection="0"/>
    <xf numFmtId="0" fontId="30" fillId="20" borderId="15" applyNumberFormat="0" applyAlignment="0" applyProtection="0"/>
    <xf numFmtId="0" fontId="30" fillId="20" borderId="15" applyNumberFormat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16" applyNumberFormat="0" applyFon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0" applyNumberFormat="0" applyFill="0" applyBorder="0" applyAlignment="0" applyProtection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35" fillId="0" borderId="0"/>
    <xf numFmtId="176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37" fillId="0" borderId="0"/>
  </cellStyleXfs>
  <cellXfs count="2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/>
    <xf numFmtId="164" fontId="4" fillId="0" borderId="0" xfId="1" applyNumberFormat="1" applyFont="1" applyAlignment="1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1" applyNumberFormat="1" applyFont="1"/>
    <xf numFmtId="0" fontId="4" fillId="0" borderId="0" xfId="0" applyFont="1" applyAlignment="1">
      <alignment horizontal="right"/>
    </xf>
    <xf numFmtId="164" fontId="5" fillId="0" borderId="2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1" applyNumberFormat="1" applyFont="1" applyBorder="1"/>
    <xf numFmtId="3" fontId="4" fillId="0" borderId="1" xfId="0" applyNumberFormat="1" applyFont="1" applyBorder="1"/>
    <xf numFmtId="3" fontId="2" fillId="0" borderId="0" xfId="0" applyNumberFormat="1" applyFont="1"/>
    <xf numFmtId="3" fontId="4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/>
    <xf numFmtId="164" fontId="5" fillId="0" borderId="0" xfId="1" applyNumberFormat="1" applyFont="1" applyBorder="1"/>
    <xf numFmtId="3" fontId="5" fillId="0" borderId="0" xfId="0" applyNumberFormat="1" applyFont="1" applyBorder="1"/>
    <xf numFmtId="9" fontId="5" fillId="0" borderId="0" xfId="3" applyFont="1" applyBorder="1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1" xfId="1" quotePrefix="1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4" fontId="0" fillId="0" borderId="1" xfId="1" applyNumberFormat="1" applyFont="1" applyBorder="1" applyAlignment="1">
      <alignment horizontal="center"/>
    </xf>
    <xf numFmtId="9" fontId="0" fillId="0" borderId="1" xfId="3" applyFont="1" applyBorder="1" applyAlignment="1">
      <alignment horizontal="center"/>
    </xf>
    <xf numFmtId="179" fontId="0" fillId="0" borderId="3" xfId="0" quotePrefix="1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9" fontId="0" fillId="0" borderId="0" xfId="3" applyFont="1"/>
    <xf numFmtId="0" fontId="38" fillId="0" borderId="18" xfId="140" applyFont="1" applyBorder="1"/>
    <xf numFmtId="0" fontId="14" fillId="0" borderId="18" xfId="140" applyBorder="1"/>
    <xf numFmtId="164" fontId="0" fillId="0" borderId="0" xfId="46" applyNumberFormat="1" applyFont="1" applyBorder="1"/>
    <xf numFmtId="0" fontId="14" fillId="0" borderId="0" xfId="140"/>
    <xf numFmtId="0" fontId="39" fillId="24" borderId="19" xfId="189" applyFont="1" applyFill="1" applyBorder="1" applyAlignment="1">
      <alignment horizontal="center"/>
    </xf>
    <xf numFmtId="0" fontId="40" fillId="24" borderId="19" xfId="189" applyFont="1" applyFill="1" applyBorder="1" applyAlignment="1">
      <alignment horizontal="center"/>
    </xf>
    <xf numFmtId="0" fontId="14" fillId="24" borderId="19" xfId="140" applyFill="1" applyBorder="1"/>
    <xf numFmtId="0" fontId="39" fillId="24" borderId="19" xfId="160" applyFont="1" applyFill="1" applyBorder="1" applyAlignment="1">
      <alignment horizontal="center"/>
    </xf>
    <xf numFmtId="164" fontId="39" fillId="24" borderId="0" xfId="46" applyNumberFormat="1" applyFont="1" applyFill="1" applyBorder="1" applyAlignment="1">
      <alignment horizontal="center"/>
    </xf>
    <xf numFmtId="0" fontId="14" fillId="0" borderId="19" xfId="140" applyBorder="1"/>
    <xf numFmtId="164" fontId="14" fillId="24" borderId="0" xfId="46" applyNumberFormat="1" applyFont="1" applyFill="1" applyBorder="1"/>
    <xf numFmtId="0" fontId="14" fillId="0" borderId="0" xfId="140" applyFont="1"/>
    <xf numFmtId="0" fontId="38" fillId="0" borderId="19" xfId="140" applyFont="1" applyBorder="1"/>
    <xf numFmtId="164" fontId="41" fillId="24" borderId="0" xfId="46" applyNumberFormat="1" applyFont="1" applyFill="1" applyBorder="1"/>
    <xf numFmtId="0" fontId="41" fillId="0" borderId="0" xfId="140" applyFont="1"/>
    <xf numFmtId="0" fontId="14" fillId="0" borderId="20" xfId="140" applyBorder="1"/>
    <xf numFmtId="0" fontId="42" fillId="24" borderId="19" xfId="140" applyFont="1" applyFill="1" applyBorder="1" applyAlignment="1">
      <alignment horizontal="center" readingOrder="1"/>
    </xf>
    <xf numFmtId="0" fontId="42" fillId="24" borderId="19" xfId="140" applyFont="1" applyFill="1" applyBorder="1" applyAlignment="1">
      <alignment horizontal="center"/>
    </xf>
    <xf numFmtId="0" fontId="43" fillId="24" borderId="19" xfId="140" applyFont="1" applyFill="1" applyBorder="1" applyAlignment="1">
      <alignment horizontal="center"/>
    </xf>
    <xf numFmtId="180" fontId="44" fillId="24" borderId="19" xfId="140" applyNumberFormat="1" applyFont="1" applyFill="1" applyBorder="1" applyAlignment="1">
      <alignment horizontal="center"/>
    </xf>
    <xf numFmtId="0" fontId="45" fillId="24" borderId="18" xfId="140" applyFont="1" applyFill="1" applyBorder="1" applyAlignment="1">
      <alignment horizontal="right" readingOrder="1"/>
    </xf>
    <xf numFmtId="164" fontId="45" fillId="24" borderId="0" xfId="46" applyNumberFormat="1" applyFont="1" applyFill="1" applyBorder="1" applyAlignment="1">
      <alignment horizontal="right" readingOrder="1"/>
    </xf>
    <xf numFmtId="0" fontId="43" fillId="24" borderId="19" xfId="140" applyFont="1" applyFill="1" applyBorder="1"/>
    <xf numFmtId="0" fontId="45" fillId="24" borderId="19" xfId="140" applyFont="1" applyFill="1" applyBorder="1" applyAlignment="1">
      <alignment horizontal="right" readingOrder="1"/>
    </xf>
    <xf numFmtId="0" fontId="46" fillId="24" borderId="19" xfId="140" applyFont="1" applyFill="1" applyBorder="1" applyAlignment="1">
      <alignment horizontal="center"/>
    </xf>
    <xf numFmtId="0" fontId="47" fillId="24" borderId="19" xfId="140" applyFont="1" applyFill="1" applyBorder="1" applyAlignment="1">
      <alignment horizontal="center"/>
    </xf>
    <xf numFmtId="0" fontId="45" fillId="24" borderId="20" xfId="140" applyFont="1" applyFill="1" applyBorder="1" applyAlignment="1">
      <alignment horizontal="right" readingOrder="1"/>
    </xf>
    <xf numFmtId="0" fontId="42" fillId="24" borderId="20" xfId="140" applyFont="1" applyFill="1" applyBorder="1" applyAlignment="1">
      <alignment horizontal="center" readingOrder="1"/>
    </xf>
    <xf numFmtId="0" fontId="42" fillId="24" borderId="20" xfId="140" applyFont="1" applyFill="1" applyBorder="1" applyAlignment="1">
      <alignment horizontal="center"/>
    </xf>
    <xf numFmtId="0" fontId="43" fillId="24" borderId="20" xfId="140" applyFont="1" applyFill="1" applyBorder="1"/>
    <xf numFmtId="180" fontId="44" fillId="24" borderId="20" xfId="140" applyNumberFormat="1" applyFont="1" applyFill="1" applyBorder="1" applyAlignment="1">
      <alignment horizontal="center"/>
    </xf>
    <xf numFmtId="164" fontId="38" fillId="0" borderId="0" xfId="46" applyNumberFormat="1" applyFont="1"/>
    <xf numFmtId="164" fontId="0" fillId="0" borderId="0" xfId="46" applyNumberFormat="1" applyFont="1"/>
    <xf numFmtId="0" fontId="38" fillId="0" borderId="1" xfId="140" applyFont="1" applyBorder="1" applyAlignment="1">
      <alignment horizontal="center"/>
    </xf>
    <xf numFmtId="164" fontId="38" fillId="0" borderId="1" xfId="46" applyNumberFormat="1" applyFont="1" applyBorder="1" applyAlignment="1">
      <alignment horizontal="center"/>
    </xf>
    <xf numFmtId="0" fontId="14" fillId="0" borderId="21" xfId="140" applyBorder="1"/>
    <xf numFmtId="164" fontId="0" fillId="0" borderId="21" xfId="46" applyNumberFormat="1" applyFont="1" applyBorder="1"/>
    <xf numFmtId="164" fontId="0" fillId="0" borderId="19" xfId="46" applyNumberFormat="1" applyFont="1" applyBorder="1"/>
    <xf numFmtId="164" fontId="38" fillId="0" borderId="19" xfId="46" applyNumberFormat="1" applyFont="1" applyBorder="1"/>
    <xf numFmtId="0" fontId="14" fillId="0" borderId="19" xfId="140" applyFont="1" applyBorder="1"/>
    <xf numFmtId="0" fontId="38" fillId="0" borderId="20" xfId="140" applyFont="1" applyBorder="1"/>
    <xf numFmtId="164" fontId="38" fillId="0" borderId="20" xfId="46" applyNumberFormat="1" applyFont="1" applyBorder="1"/>
    <xf numFmtId="164" fontId="48" fillId="0" borderId="0" xfId="46" applyNumberFormat="1" applyFont="1"/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81" fontId="0" fillId="0" borderId="0" xfId="3" applyNumberFormat="1" applyFont="1" applyAlignment="1">
      <alignment horizontal="center"/>
    </xf>
    <xf numFmtId="0" fontId="0" fillId="0" borderId="1" xfId="0" applyFont="1" applyBorder="1" applyAlignment="1">
      <alignment vertical="center"/>
    </xf>
    <xf numFmtId="0" fontId="49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vertical="center"/>
    </xf>
    <xf numFmtId="3" fontId="49" fillId="0" borderId="1" xfId="0" applyNumberFormat="1" applyFont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9" fontId="3" fillId="0" borderId="1" xfId="3" applyFont="1" applyBorder="1" applyAlignment="1">
      <alignment horizontal="center" vertical="center"/>
    </xf>
    <xf numFmtId="181" fontId="3" fillId="0" borderId="1" xfId="3" applyNumberFormat="1" applyFont="1" applyBorder="1" applyAlignment="1">
      <alignment horizontal="center" vertical="center"/>
    </xf>
    <xf numFmtId="9" fontId="3" fillId="0" borderId="0" xfId="3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quotePrefix="1" applyNumberFormat="1" applyFont="1" applyBorder="1" applyAlignment="1">
      <alignment horizontal="center" vertical="center" wrapText="1"/>
    </xf>
    <xf numFmtId="3" fontId="49" fillId="0" borderId="1" xfId="0" quotePrefix="1" applyNumberFormat="1" applyFont="1" applyBorder="1" applyAlignment="1">
      <alignment horizontal="center" vertical="center" wrapText="1"/>
    </xf>
    <xf numFmtId="9" fontId="3" fillId="0" borderId="1" xfId="3" quotePrefix="1" applyFont="1" applyBorder="1" applyAlignment="1">
      <alignment horizontal="center" vertical="center" wrapText="1"/>
    </xf>
    <xf numFmtId="181" fontId="3" fillId="0" borderId="1" xfId="3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3" fontId="3" fillId="0" borderId="21" xfId="0" applyNumberFormat="1" applyFont="1" applyBorder="1"/>
    <xf numFmtId="3" fontId="49" fillId="0" borderId="21" xfId="0" applyNumberFormat="1" applyFont="1" applyBorder="1" applyAlignment="1">
      <alignment horizontal="center"/>
    </xf>
    <xf numFmtId="9" fontId="3" fillId="0" borderId="21" xfId="3" applyFont="1" applyBorder="1" applyAlignment="1">
      <alignment horizontal="center"/>
    </xf>
    <xf numFmtId="9" fontId="3" fillId="0" borderId="21" xfId="3" applyFont="1" applyBorder="1"/>
    <xf numFmtId="181" fontId="3" fillId="0" borderId="21" xfId="3" applyNumberFormat="1" applyFont="1" applyBorder="1" applyAlignment="1">
      <alignment horizontal="center"/>
    </xf>
    <xf numFmtId="9" fontId="3" fillId="0" borderId="0" xfId="3" applyFont="1" applyBorder="1"/>
    <xf numFmtId="0" fontId="0" fillId="0" borderId="19" xfId="0" applyFont="1" applyBorder="1" applyAlignment="1">
      <alignment vertical="center"/>
    </xf>
    <xf numFmtId="0" fontId="0" fillId="0" borderId="19" xfId="0" applyFont="1" applyBorder="1" applyAlignment="1">
      <alignment vertical="center" wrapText="1"/>
    </xf>
    <xf numFmtId="3" fontId="0" fillId="0" borderId="19" xfId="0" applyNumberFormat="1" applyFont="1" applyBorder="1" applyAlignment="1">
      <alignment vertical="center"/>
    </xf>
    <xf numFmtId="9" fontId="49" fillId="0" borderId="19" xfId="3" applyFont="1" applyBorder="1" applyAlignment="1">
      <alignment horizontal="center" vertical="center"/>
    </xf>
    <xf numFmtId="41" fontId="4" fillId="0" borderId="19" xfId="2" applyFont="1" applyFill="1" applyBorder="1" applyAlignment="1">
      <alignment vertical="center"/>
    </xf>
    <xf numFmtId="9" fontId="0" fillId="0" borderId="19" xfId="3" applyFont="1" applyBorder="1" applyAlignment="1">
      <alignment horizontal="center" vertical="center"/>
    </xf>
    <xf numFmtId="9" fontId="49" fillId="0" borderId="19" xfId="3" applyFont="1" applyFill="1" applyBorder="1" applyAlignment="1">
      <alignment horizontal="center" vertical="center"/>
    </xf>
    <xf numFmtId="9" fontId="4" fillId="0" borderId="19" xfId="3" applyFont="1" applyFill="1" applyBorder="1" applyAlignment="1">
      <alignment horizontal="center" vertical="center"/>
    </xf>
    <xf numFmtId="9" fontId="4" fillId="0" borderId="19" xfId="3" applyFont="1" applyFill="1" applyBorder="1" applyAlignment="1">
      <alignment vertical="center"/>
    </xf>
    <xf numFmtId="181" fontId="4" fillId="0" borderId="19" xfId="3" applyNumberFormat="1" applyFont="1" applyFill="1" applyBorder="1" applyAlignment="1">
      <alignment horizontal="center" vertical="center"/>
    </xf>
    <xf numFmtId="9" fontId="0" fillId="0" borderId="19" xfId="3" applyFont="1" applyBorder="1" applyAlignment="1">
      <alignment vertical="center" wrapText="1"/>
    </xf>
    <xf numFmtId="9" fontId="0" fillId="0" borderId="0" xfId="3" applyFont="1" applyBorder="1" applyAlignment="1">
      <alignment vertical="center" wrapText="1"/>
    </xf>
    <xf numFmtId="9" fontId="49" fillId="0" borderId="19" xfId="3" applyFont="1" applyBorder="1" applyAlignment="1">
      <alignment vertical="center"/>
    </xf>
    <xf numFmtId="9" fontId="49" fillId="0" borderId="0" xfId="3" applyFont="1" applyBorder="1" applyAlignment="1">
      <alignment vertical="center"/>
    </xf>
    <xf numFmtId="9" fontId="0" fillId="0" borderId="19" xfId="3" applyFont="1" applyBorder="1" applyAlignment="1">
      <alignment vertical="center"/>
    </xf>
    <xf numFmtId="9" fontId="0" fillId="0" borderId="0" xfId="3" applyFont="1" applyBorder="1" applyAlignment="1">
      <alignment vertical="center"/>
    </xf>
    <xf numFmtId="41" fontId="0" fillId="0" borderId="19" xfId="0" applyNumberFormat="1" applyFont="1" applyBorder="1" applyAlignment="1">
      <alignment vertical="center"/>
    </xf>
    <xf numFmtId="181" fontId="0" fillId="0" borderId="22" xfId="3" applyNumberFormat="1" applyFont="1" applyBorder="1" applyAlignment="1">
      <alignment horizontal="center" vertical="center"/>
    </xf>
    <xf numFmtId="3" fontId="0" fillId="0" borderId="19" xfId="0" applyNumberFormat="1" applyFont="1" applyBorder="1"/>
    <xf numFmtId="181" fontId="0" fillId="0" borderId="19" xfId="3" applyNumberFormat="1" applyFont="1" applyBorder="1" applyAlignment="1">
      <alignment horizontal="center" vertical="center"/>
    </xf>
    <xf numFmtId="0" fontId="3" fillId="0" borderId="19" xfId="0" applyFont="1" applyBorder="1"/>
    <xf numFmtId="3" fontId="3" fillId="0" borderId="19" xfId="0" applyNumberFormat="1" applyFont="1" applyBorder="1"/>
    <xf numFmtId="9" fontId="0" fillId="0" borderId="19" xfId="3" applyFont="1" applyBorder="1" applyAlignment="1">
      <alignment horizontal="center"/>
    </xf>
    <xf numFmtId="41" fontId="4" fillId="0" borderId="19" xfId="2" applyFont="1" applyFill="1" applyBorder="1"/>
    <xf numFmtId="9" fontId="3" fillId="0" borderId="19" xfId="3" applyFont="1" applyBorder="1" applyAlignment="1">
      <alignment horizontal="center"/>
    </xf>
    <xf numFmtId="9" fontId="3" fillId="0" borderId="19" xfId="3" applyFont="1" applyBorder="1"/>
    <xf numFmtId="181" fontId="3" fillId="0" borderId="19" xfId="3" applyNumberFormat="1" applyFont="1" applyBorder="1" applyAlignment="1">
      <alignment horizontal="center"/>
    </xf>
    <xf numFmtId="0" fontId="0" fillId="0" borderId="19" xfId="0" applyFont="1" applyBorder="1"/>
    <xf numFmtId="9" fontId="4" fillId="0" borderId="19" xfId="3" applyFont="1" applyFill="1" applyBorder="1" applyAlignment="1">
      <alignment horizontal="center"/>
    </xf>
    <xf numFmtId="9" fontId="4" fillId="0" borderId="19" xfId="3" applyFont="1" applyFill="1" applyBorder="1"/>
    <xf numFmtId="181" fontId="0" fillId="0" borderId="19" xfId="3" applyNumberFormat="1" applyFont="1" applyBorder="1" applyAlignment="1">
      <alignment horizontal="center"/>
    </xf>
    <xf numFmtId="9" fontId="0" fillId="0" borderId="19" xfId="3" applyFont="1" applyBorder="1"/>
    <xf numFmtId="9" fontId="0" fillId="0" borderId="0" xfId="3" applyFont="1" applyBorder="1"/>
    <xf numFmtId="181" fontId="0" fillId="0" borderId="19" xfId="3" applyNumberFormat="1" applyFont="1" applyBorder="1"/>
    <xf numFmtId="0" fontId="0" fillId="0" borderId="19" xfId="0" applyFont="1" applyBorder="1" applyAlignment="1">
      <alignment horizontal="right" vertical="center"/>
    </xf>
    <xf numFmtId="0" fontId="0" fillId="0" borderId="19" xfId="0" applyFont="1" applyBorder="1" applyAlignment="1">
      <alignment horizontal="left" vertical="center" wrapText="1"/>
    </xf>
    <xf numFmtId="3" fontId="0" fillId="0" borderId="19" xfId="0" applyNumberFormat="1" applyFont="1" applyBorder="1" applyAlignment="1">
      <alignment horizontal="right" vertical="center"/>
    </xf>
    <xf numFmtId="3" fontId="0" fillId="0" borderId="19" xfId="0" applyNumberFormat="1" applyFont="1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 applyAlignment="1">
      <alignment vertical="center"/>
    </xf>
    <xf numFmtId="3" fontId="0" fillId="0" borderId="20" xfId="0" applyNumberFormat="1" applyFont="1" applyBorder="1" applyAlignment="1">
      <alignment vertical="center"/>
    </xf>
    <xf numFmtId="9" fontId="0" fillId="0" borderId="20" xfId="3" applyFont="1" applyBorder="1" applyAlignment="1">
      <alignment horizontal="center" vertical="center"/>
    </xf>
    <xf numFmtId="9" fontId="0" fillId="0" borderId="20" xfId="3" applyFont="1" applyBorder="1" applyAlignment="1">
      <alignment vertical="center"/>
    </xf>
    <xf numFmtId="3" fontId="51" fillId="0" borderId="1" xfId="0" applyNumberFormat="1" applyFont="1" applyBorder="1"/>
    <xf numFmtId="3" fontId="51" fillId="0" borderId="1" xfId="0" applyNumberFormat="1" applyFont="1" applyBorder="1" applyAlignment="1">
      <alignment horizontal="center"/>
    </xf>
    <xf numFmtId="9" fontId="51" fillId="0" borderId="1" xfId="3" applyFont="1" applyBorder="1" applyAlignment="1">
      <alignment horizontal="center"/>
    </xf>
    <xf numFmtId="181" fontId="51" fillId="0" borderId="1" xfId="3" applyNumberFormat="1" applyFont="1" applyBorder="1" applyAlignment="1">
      <alignment horizontal="center"/>
    </xf>
    <xf numFmtId="0" fontId="51" fillId="0" borderId="1" xfId="0" applyFont="1" applyBorder="1"/>
    <xf numFmtId="0" fontId="51" fillId="0" borderId="0" xfId="0" applyFont="1" applyBorder="1"/>
    <xf numFmtId="0" fontId="52" fillId="0" borderId="0" xfId="0" applyFont="1"/>
    <xf numFmtId="9" fontId="53" fillId="0" borderId="0" xfId="3" applyFont="1"/>
    <xf numFmtId="9" fontId="51" fillId="0" borderId="0" xfId="3" applyFont="1" applyAlignment="1">
      <alignment horizontal="center"/>
    </xf>
    <xf numFmtId="9" fontId="53" fillId="0" borderId="0" xfId="3" applyFont="1" applyAlignment="1">
      <alignment horizontal="center"/>
    </xf>
    <xf numFmtId="9" fontId="54" fillId="0" borderId="0" xfId="3" applyFont="1"/>
    <xf numFmtId="181" fontId="51" fillId="0" borderId="0" xfId="3" applyNumberFormat="1" applyFont="1"/>
    <xf numFmtId="181" fontId="51" fillId="0" borderId="0" xfId="3" applyNumberFormat="1" applyFont="1" applyAlignment="1">
      <alignment horizontal="center"/>
    </xf>
    <xf numFmtId="181" fontId="53" fillId="0" borderId="0" xfId="3" applyNumberFormat="1" applyFont="1" applyAlignment="1">
      <alignment horizontal="center"/>
    </xf>
    <xf numFmtId="3" fontId="0" fillId="0" borderId="0" xfId="0" applyNumberFormat="1" applyFont="1"/>
    <xf numFmtId="3" fontId="49" fillId="0" borderId="0" xfId="0" applyNumberFormat="1" applyFont="1" applyAlignment="1">
      <alignment horizontal="center"/>
    </xf>
    <xf numFmtId="9" fontId="0" fillId="0" borderId="0" xfId="3" applyFont="1" applyAlignment="1">
      <alignment horizontal="center"/>
    </xf>
    <xf numFmtId="3" fontId="3" fillId="0" borderId="0" xfId="0" applyNumberFormat="1" applyFont="1"/>
    <xf numFmtId="9" fontId="3" fillId="0" borderId="0" xfId="3" applyFont="1" applyAlignment="1">
      <alignment horizontal="center"/>
    </xf>
    <xf numFmtId="9" fontId="3" fillId="0" borderId="0" xfId="3" applyFont="1"/>
    <xf numFmtId="181" fontId="3" fillId="0" borderId="0" xfId="3" applyNumberFormat="1" applyFont="1" applyAlignment="1">
      <alignment horizontal="center"/>
    </xf>
    <xf numFmtId="181" fontId="55" fillId="0" borderId="0" xfId="3" applyNumberFormat="1" applyFont="1"/>
    <xf numFmtId="181" fontId="55" fillId="0" borderId="0" xfId="3" applyNumberFormat="1" applyFont="1" applyAlignment="1">
      <alignment horizontal="center"/>
    </xf>
    <xf numFmtId="181" fontId="3" fillId="0" borderId="0" xfId="3" applyNumberFormat="1" applyFont="1"/>
    <xf numFmtId="181" fontId="49" fillId="0" borderId="0" xfId="3" applyNumberFormat="1" applyFont="1"/>
    <xf numFmtId="181" fontId="49" fillId="0" borderId="0" xfId="3" applyNumberFormat="1" applyFont="1" applyAlignment="1">
      <alignment horizontal="center"/>
    </xf>
    <xf numFmtId="3" fontId="54" fillId="0" borderId="1" xfId="0" applyNumberFormat="1" applyFont="1" applyBorder="1"/>
    <xf numFmtId="181" fontId="54" fillId="0" borderId="1" xfId="3" applyNumberFormat="1" applyFont="1" applyBorder="1"/>
    <xf numFmtId="0" fontId="53" fillId="0" borderId="0" xfId="0" applyFont="1"/>
    <xf numFmtId="3" fontId="53" fillId="0" borderId="0" xfId="0" applyNumberFormat="1" applyFont="1"/>
    <xf numFmtId="3" fontId="51" fillId="0" borderId="0" xfId="0" applyNumberFormat="1" applyFont="1" applyAlignment="1">
      <alignment horizontal="center"/>
    </xf>
    <xf numFmtId="181" fontId="56" fillId="0" borderId="0" xfId="3" applyNumberFormat="1" applyFont="1"/>
    <xf numFmtId="181" fontId="56" fillId="0" borderId="0" xfId="3" applyNumberFormat="1" applyFont="1" applyAlignment="1">
      <alignment horizontal="center"/>
    </xf>
    <xf numFmtId="0" fontId="55" fillId="0" borderId="0" xfId="0" applyFont="1"/>
    <xf numFmtId="3" fontId="55" fillId="0" borderId="0" xfId="0" applyNumberFormat="1" applyFont="1"/>
    <xf numFmtId="3" fontId="55" fillId="0" borderId="0" xfId="0" applyNumberFormat="1" applyFont="1" applyAlignment="1">
      <alignment horizontal="center"/>
    </xf>
    <xf numFmtId="9" fontId="55" fillId="0" borderId="0" xfId="3" applyFont="1" applyAlignment="1">
      <alignment horizontal="left"/>
    </xf>
    <xf numFmtId="0" fontId="2" fillId="0" borderId="0" xfId="0" applyFont="1"/>
    <xf numFmtId="9" fontId="2" fillId="0" borderId="0" xfId="3" applyFont="1" applyAlignment="1">
      <alignment horizontal="center"/>
    </xf>
    <xf numFmtId="9" fontId="2" fillId="0" borderId="0" xfId="3" applyFont="1"/>
    <xf numFmtId="181" fontId="2" fillId="0" borderId="0" xfId="3" applyNumberFormat="1" applyFont="1" applyAlignment="1">
      <alignment horizontal="center"/>
    </xf>
    <xf numFmtId="9" fontId="49" fillId="0" borderId="0" xfId="3" applyFont="1" applyAlignment="1">
      <alignment horizontal="center"/>
    </xf>
    <xf numFmtId="181" fontId="0" fillId="0" borderId="0" xfId="3" applyNumberFormat="1" applyFont="1"/>
    <xf numFmtId="3" fontId="0" fillId="0" borderId="23" xfId="0" applyNumberFormat="1" applyFont="1" applyBorder="1"/>
    <xf numFmtId="181" fontId="0" fillId="0" borderId="23" xfId="3" applyNumberFormat="1" applyFont="1" applyBorder="1"/>
    <xf numFmtId="3" fontId="3" fillId="0" borderId="0" xfId="0" applyNumberFormat="1" applyFont="1" applyAlignment="1">
      <alignment horizontal="right"/>
    </xf>
    <xf numFmtId="3" fontId="57" fillId="0" borderId="0" xfId="0" applyNumberFormat="1" applyFont="1"/>
    <xf numFmtId="3" fontId="58" fillId="0" borderId="0" xfId="0" applyNumberFormat="1" applyFont="1" applyAlignment="1">
      <alignment horizontal="center"/>
    </xf>
    <xf numFmtId="9" fontId="57" fillId="0" borderId="0" xfId="3" applyFont="1" applyAlignment="1">
      <alignment horizontal="center"/>
    </xf>
    <xf numFmtId="9" fontId="58" fillId="0" borderId="0" xfId="3" applyFont="1"/>
    <xf numFmtId="181" fontId="57" fillId="0" borderId="0" xfId="3" applyNumberFormat="1" applyFont="1" applyAlignment="1">
      <alignment horizontal="center"/>
    </xf>
    <xf numFmtId="0" fontId="58" fillId="0" borderId="0" xfId="0" applyFont="1"/>
    <xf numFmtId="0" fontId="57" fillId="0" borderId="0" xfId="0" applyFont="1"/>
    <xf numFmtId="0" fontId="59" fillId="0" borderId="0" xfId="0" applyFont="1"/>
    <xf numFmtId="3" fontId="59" fillId="0" borderId="0" xfId="0" applyNumberFormat="1" applyFont="1"/>
    <xf numFmtId="3" fontId="60" fillId="0" borderId="19" xfId="0" applyNumberFormat="1" applyFont="1" applyBorder="1"/>
    <xf numFmtId="0" fontId="61" fillId="0" borderId="1" xfId="0" applyFont="1" applyBorder="1" applyAlignment="1">
      <alignment horizontal="center"/>
    </xf>
    <xf numFmtId="49" fontId="61" fillId="0" borderId="1" xfId="0" applyNumberFormat="1" applyFont="1" applyBorder="1" applyAlignment="1">
      <alignment horizontal="center"/>
    </xf>
    <xf numFmtId="0" fontId="59" fillId="0" borderId="21" xfId="0" applyFont="1" applyBorder="1"/>
    <xf numFmtId="3" fontId="59" fillId="0" borderId="21" xfId="0" applyNumberFormat="1" applyFont="1" applyBorder="1"/>
    <xf numFmtId="9" fontId="59" fillId="0" borderId="21" xfId="3" applyFont="1" applyBorder="1"/>
    <xf numFmtId="0" fontId="59" fillId="0" borderId="19" xfId="0" applyFont="1" applyBorder="1"/>
    <xf numFmtId="0" fontId="60" fillId="0" borderId="19" xfId="0" applyFont="1" applyBorder="1"/>
    <xf numFmtId="9" fontId="60" fillId="0" borderId="19" xfId="3" applyFont="1" applyBorder="1"/>
    <xf numFmtId="3" fontId="59" fillId="0" borderId="19" xfId="0" applyNumberFormat="1" applyFont="1" applyBorder="1"/>
    <xf numFmtId="9" fontId="59" fillId="0" borderId="19" xfId="3" applyFont="1" applyBorder="1"/>
    <xf numFmtId="0" fontId="59" fillId="0" borderId="20" xfId="0" applyFont="1" applyBorder="1"/>
    <xf numFmtId="3" fontId="59" fillId="0" borderId="20" xfId="0" applyNumberFormat="1" applyFont="1" applyBorder="1"/>
    <xf numFmtId="9" fontId="59" fillId="0" borderId="20" xfId="3" applyFont="1" applyBorder="1"/>
    <xf numFmtId="9" fontId="59" fillId="0" borderId="0" xfId="3" applyFont="1"/>
    <xf numFmtId="0" fontId="61" fillId="0" borderId="0" xfId="0" applyFont="1"/>
    <xf numFmtId="3" fontId="61" fillId="0" borderId="0" xfId="0" applyNumberFormat="1" applyFont="1"/>
    <xf numFmtId="0" fontId="60" fillId="0" borderId="0" xfId="0" applyFont="1"/>
    <xf numFmtId="3" fontId="60" fillId="0" borderId="0" xfId="0" applyNumberFormat="1" applyFont="1"/>
    <xf numFmtId="3" fontId="59" fillId="0" borderId="0" xfId="0" applyNumberFormat="1" applyFont="1" applyAlignment="1">
      <alignment wrapText="1"/>
    </xf>
    <xf numFmtId="0" fontId="59" fillId="0" borderId="0" xfId="0" applyFont="1" applyAlignment="1">
      <alignment vertical="center"/>
    </xf>
    <xf numFmtId="3" fontId="59" fillId="0" borderId="0" xfId="0" applyNumberFormat="1" applyFont="1" applyAlignment="1">
      <alignment vertical="center"/>
    </xf>
    <xf numFmtId="0" fontId="62" fillId="0" borderId="0" xfId="140" applyFont="1"/>
    <xf numFmtId="0" fontId="38" fillId="0" borderId="0" xfId="140" applyFont="1" applyAlignment="1">
      <alignment horizontal="center"/>
    </xf>
    <xf numFmtId="3" fontId="60" fillId="0" borderId="24" xfId="0" applyNumberFormat="1" applyFont="1" applyBorder="1"/>
    <xf numFmtId="164" fontId="3" fillId="0" borderId="19" xfId="46" applyNumberFormat="1" applyFont="1" applyBorder="1"/>
    <xf numFmtId="164" fontId="3" fillId="0" borderId="20" xfId="46" applyNumberFormat="1" applyFont="1" applyBorder="1"/>
    <xf numFmtId="164" fontId="0" fillId="0" borderId="18" xfId="46" applyNumberFormat="1" applyFont="1" applyBorder="1"/>
    <xf numFmtId="164" fontId="39" fillId="24" borderId="19" xfId="46" applyNumberFormat="1" applyFont="1" applyFill="1" applyBorder="1" applyAlignment="1">
      <alignment horizontal="center"/>
    </xf>
    <xf numFmtId="164" fontId="39" fillId="0" borderId="19" xfId="46" applyNumberFormat="1" applyFont="1" applyFill="1" applyBorder="1" applyAlignment="1">
      <alignment horizontal="center"/>
    </xf>
    <xf numFmtId="164" fontId="39" fillId="24" borderId="20" xfId="46" applyNumberFormat="1" applyFont="1" applyFill="1" applyBorder="1" applyAlignment="1">
      <alignment horizontal="center"/>
    </xf>
    <xf numFmtId="0" fontId="14" fillId="0" borderId="1" xfId="140" applyBorder="1"/>
    <xf numFmtId="164" fontId="14" fillId="0" borderId="1" xfId="140" applyNumberFormat="1" applyBorder="1"/>
    <xf numFmtId="0" fontId="63" fillId="0" borderId="0" xfId="14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9" fontId="3" fillId="0" borderId="2" xfId="3" applyFont="1" applyBorder="1" applyAlignment="1">
      <alignment horizontal="center" vertical="center" wrapText="1"/>
    </xf>
    <xf numFmtId="9" fontId="3" fillId="0" borderId="6" xfId="3" applyFont="1" applyBorder="1" applyAlignment="1">
      <alignment horizontal="center" vertical="center" wrapText="1"/>
    </xf>
    <xf numFmtId="9" fontId="3" fillId="0" borderId="1" xfId="3" applyFont="1" applyBorder="1" applyAlignment="1">
      <alignment horizontal="center" vertical="center"/>
    </xf>
    <xf numFmtId="0" fontId="51" fillId="0" borderId="1" xfId="0" applyFont="1" applyBorder="1" applyAlignment="1">
      <alignment horizontal="center"/>
    </xf>
    <xf numFmtId="0" fontId="38" fillId="0" borderId="0" xfId="140" applyFont="1" applyAlignment="1">
      <alignment horizontal="center"/>
    </xf>
    <xf numFmtId="0" fontId="59" fillId="0" borderId="0" xfId="0" applyFont="1" applyAlignment="1">
      <alignment horizontal="center" vertical="center"/>
    </xf>
    <xf numFmtId="3" fontId="59" fillId="0" borderId="0" xfId="0" applyNumberFormat="1" applyFont="1" applyAlignment="1">
      <alignment horizontal="left" vertical="top" wrapText="1"/>
    </xf>
    <xf numFmtId="0" fontId="61" fillId="0" borderId="0" xfId="0" applyFont="1" applyAlignment="1">
      <alignment horizontal="center"/>
    </xf>
    <xf numFmtId="0" fontId="61" fillId="0" borderId="25" xfId="0" applyFont="1" applyBorder="1" applyAlignment="1">
      <alignment horizontal="center"/>
    </xf>
    <xf numFmtId="0" fontId="64" fillId="0" borderId="0" xfId="0" applyFont="1"/>
    <xf numFmtId="0" fontId="65" fillId="0" borderId="0" xfId="0" applyFont="1"/>
  </cellXfs>
  <cellStyles count="24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ÅëÈ­ [0]_¿ì¹°Åë" xfId="28"/>
    <cellStyle name="AeE­ [0]_INQUIRY ¿µ¾÷AßAø " xfId="29"/>
    <cellStyle name="ÅëÈ­_¿ì¹°Åë" xfId="30"/>
    <cellStyle name="AeE­_INQUIRY ¿µ¾÷AßAø " xfId="31"/>
    <cellStyle name="ÄÞ¸¶ [0]_¿ì¹°Åë" xfId="32"/>
    <cellStyle name="AÞ¸¶ [0]_INQUIRY ¿?¾÷AßAø " xfId="33"/>
    <cellStyle name="ÄÞ¸¶_¿ì¹°Åë" xfId="34"/>
    <cellStyle name="AÞ¸¶_INQUIRY ¿?¾÷AßAø " xfId="35"/>
    <cellStyle name="Bad 2" xfId="36"/>
    <cellStyle name="C?AØ_¿?¾÷CoE² " xfId="37"/>
    <cellStyle name="Ç¥ÁØ_´çÃÊ±¸ÀÔ»ý»ê" xfId="38"/>
    <cellStyle name="C￥AØ_¿μ¾÷CoE² " xfId="39"/>
    <cellStyle name="Calculation 2" xfId="40"/>
    <cellStyle name="Calculation 2 2" xfId="41"/>
    <cellStyle name="Calculation 3" xfId="42"/>
    <cellStyle name="Check Cell 2" xfId="43"/>
    <cellStyle name="Comma" xfId="1" builtinId="3"/>
    <cellStyle name="Comma [0]" xfId="2" builtinId="6"/>
    <cellStyle name="Comma [0] 2" xfId="44"/>
    <cellStyle name="Comma [0] 2 2" xfId="45"/>
    <cellStyle name="Comma 10" xfId="46"/>
    <cellStyle name="Comma 11" xfId="47"/>
    <cellStyle name="Comma 12" xfId="48"/>
    <cellStyle name="Comma 13" xfId="49"/>
    <cellStyle name="Comma 14" xfId="50"/>
    <cellStyle name="Comma 15" xfId="51"/>
    <cellStyle name="Comma 16" xfId="52"/>
    <cellStyle name="Comma 17" xfId="53"/>
    <cellStyle name="Comma 18" xfId="54"/>
    <cellStyle name="Comma 19" xfId="55"/>
    <cellStyle name="Comma 2" xfId="56"/>
    <cellStyle name="Comma 2 2" xfId="57"/>
    <cellStyle name="Comma 2 2 2" xfId="58"/>
    <cellStyle name="Comma 2 3" xfId="59"/>
    <cellStyle name="Comma 2 4" xfId="60"/>
    <cellStyle name="Comma 20" xfId="61"/>
    <cellStyle name="Comma 21" xfId="62"/>
    <cellStyle name="Comma 22" xfId="63"/>
    <cellStyle name="Comma 23" xfId="64"/>
    <cellStyle name="Comma 24" xfId="65"/>
    <cellStyle name="Comma 25" xfId="66"/>
    <cellStyle name="Comma 26" xfId="67"/>
    <cellStyle name="Comma 27" xfId="68"/>
    <cellStyle name="Comma 28" xfId="69"/>
    <cellStyle name="Comma 29" xfId="70"/>
    <cellStyle name="Comma 3" xfId="71"/>
    <cellStyle name="Comma 3 2" xfId="72"/>
    <cellStyle name="Comma 30" xfId="73"/>
    <cellStyle name="Comma 31" xfId="74"/>
    <cellStyle name="Comma 32" xfId="75"/>
    <cellStyle name="Comma 33" xfId="76"/>
    <cellStyle name="Comma 34" xfId="77"/>
    <cellStyle name="Comma 35" xfId="78"/>
    <cellStyle name="Comma 36" xfId="79"/>
    <cellStyle name="Comma 37" xfId="80"/>
    <cellStyle name="Comma 38" xfId="81"/>
    <cellStyle name="Comma 39" xfId="82"/>
    <cellStyle name="Comma 4" xfId="83"/>
    <cellStyle name="Comma 40" xfId="84"/>
    <cellStyle name="Comma 41" xfId="85"/>
    <cellStyle name="Comma 42" xfId="86"/>
    <cellStyle name="Comma 43" xfId="87"/>
    <cellStyle name="Comma 44" xfId="88"/>
    <cellStyle name="Comma 45" xfId="89"/>
    <cellStyle name="Comma 46" xfId="90"/>
    <cellStyle name="Comma 47" xfId="91"/>
    <cellStyle name="Comma 48" xfId="92"/>
    <cellStyle name="Comma 49" xfId="93"/>
    <cellStyle name="Comma 5" xfId="94"/>
    <cellStyle name="Comma 50" xfId="95"/>
    <cellStyle name="Comma 51" xfId="96"/>
    <cellStyle name="Comma 52" xfId="97"/>
    <cellStyle name="Comma 53" xfId="98"/>
    <cellStyle name="Comma 54" xfId="99"/>
    <cellStyle name="Comma 55" xfId="100"/>
    <cellStyle name="Comma 56" xfId="101"/>
    <cellStyle name="Comma 57" xfId="102"/>
    <cellStyle name="Comma 58" xfId="103"/>
    <cellStyle name="Comma 59" xfId="104"/>
    <cellStyle name="Comma 6" xfId="105"/>
    <cellStyle name="Comma 60" xfId="106"/>
    <cellStyle name="Comma 61" xfId="107"/>
    <cellStyle name="Comma 62" xfId="108"/>
    <cellStyle name="Comma 63" xfId="109"/>
    <cellStyle name="Comma 7" xfId="110"/>
    <cellStyle name="Comma 8" xfId="111"/>
    <cellStyle name="Comma 9" xfId="112"/>
    <cellStyle name="Comma0" xfId="113"/>
    <cellStyle name="Currency0" xfId="114"/>
    <cellStyle name="Date" xfId="115"/>
    <cellStyle name="Explanatory Text 2" xfId="116"/>
    <cellStyle name="Fixed" xfId="117"/>
    <cellStyle name="Font Britannic16_VLNC1" xfId="118"/>
    <cellStyle name="Good 2" xfId="119"/>
    <cellStyle name="Header1" xfId="120"/>
    <cellStyle name="Header2" xfId="121"/>
    <cellStyle name="Heading 1 2" xfId="122"/>
    <cellStyle name="Heading 1 3" xfId="123"/>
    <cellStyle name="Heading 2 2" xfId="124"/>
    <cellStyle name="Heading 2 3" xfId="125"/>
    <cellStyle name="Heading 3 2" xfId="126"/>
    <cellStyle name="Heading 4 2" xfId="127"/>
    <cellStyle name="Input 2" xfId="128"/>
    <cellStyle name="Input 2 2" xfId="129"/>
    <cellStyle name="Input 3" xfId="130"/>
    <cellStyle name="Ledger 17 x 11 in" xfId="131"/>
    <cellStyle name="Ledger 17 x 11 in 2" xfId="132"/>
    <cellStyle name="Ledger 17 x 11 in 3" xfId="133"/>
    <cellStyle name="Ledger 17 x 11 in 4" xfId="134"/>
    <cellStyle name="Linked Cell 2" xfId="135"/>
    <cellStyle name="n" xfId="136"/>
    <cellStyle name="Neutral 2" xfId="137"/>
    <cellStyle name="Normal" xfId="0" builtinId="0"/>
    <cellStyle name="Normal - Style1" xfId="138"/>
    <cellStyle name="Normal 10" xfId="139"/>
    <cellStyle name="Normal 10 2" xfId="140"/>
    <cellStyle name="Normal 11" xfId="141"/>
    <cellStyle name="Normal 11 2" xfId="142"/>
    <cellStyle name="Normal 12" xfId="143"/>
    <cellStyle name="Normal 12 2" xfId="144"/>
    <cellStyle name="Normal 13" xfId="145"/>
    <cellStyle name="Normal 13 2" xfId="146"/>
    <cellStyle name="Normal 14" xfId="147"/>
    <cellStyle name="Normal 14 2" xfId="148"/>
    <cellStyle name="Normal 15" xfId="149"/>
    <cellStyle name="Normal 15 2" xfId="150"/>
    <cellStyle name="Normal 16" xfId="151"/>
    <cellStyle name="Normal 16 2" xfId="152"/>
    <cellStyle name="Normal 17" xfId="153"/>
    <cellStyle name="Normal 17 2" xfId="154"/>
    <cellStyle name="Normal 18" xfId="155"/>
    <cellStyle name="Normal 18 2" xfId="156"/>
    <cellStyle name="Normal 19" xfId="157"/>
    <cellStyle name="Normal 19 2" xfId="158"/>
    <cellStyle name="Normal 2" xfId="159"/>
    <cellStyle name="Normal 2 2" xfId="160"/>
    <cellStyle name="Normal 2 2 2" xfId="161"/>
    <cellStyle name="Normal 2 3" xfId="162"/>
    <cellStyle name="Normal 20" xfId="163"/>
    <cellStyle name="Normal 20 2" xfId="164"/>
    <cellStyle name="Normal 21" xfId="165"/>
    <cellStyle name="Normal 21 2" xfId="166"/>
    <cellStyle name="Normal 22" xfId="167"/>
    <cellStyle name="Normal 22 2" xfId="168"/>
    <cellStyle name="Normal 23" xfId="169"/>
    <cellStyle name="Normal 24" xfId="170"/>
    <cellStyle name="Normal 25" xfId="171"/>
    <cellStyle name="Normal 26" xfId="172"/>
    <cellStyle name="Normal 27" xfId="173"/>
    <cellStyle name="Normal 28" xfId="174"/>
    <cellStyle name="Normal 29" xfId="175"/>
    <cellStyle name="Normal 3" xfId="176"/>
    <cellStyle name="Normal 3 2" xfId="177"/>
    <cellStyle name="Normal 30" xfId="178"/>
    <cellStyle name="Normal 31" xfId="179"/>
    <cellStyle name="Normal 32" xfId="180"/>
    <cellStyle name="Normal 33" xfId="181"/>
    <cellStyle name="Normal 34" xfId="182"/>
    <cellStyle name="Normal 35" xfId="183"/>
    <cellStyle name="Normal 36" xfId="184"/>
    <cellStyle name="Normal 37" xfId="185"/>
    <cellStyle name="Normal 38" xfId="186"/>
    <cellStyle name="Normal 39" xfId="187"/>
    <cellStyle name="Normal 4" xfId="188"/>
    <cellStyle name="Normal 4 2" xfId="189"/>
    <cellStyle name="Normal 40" xfId="190"/>
    <cellStyle name="Normal 41" xfId="191"/>
    <cellStyle name="Normal 42" xfId="192"/>
    <cellStyle name="Normal 43" xfId="193"/>
    <cellStyle name="Normal 44" xfId="194"/>
    <cellStyle name="Normal 45" xfId="195"/>
    <cellStyle name="Normal 46" xfId="196"/>
    <cellStyle name="Normal 47" xfId="197"/>
    <cellStyle name="Normal 48" xfId="198"/>
    <cellStyle name="Normal 49" xfId="199"/>
    <cellStyle name="Normal 5" xfId="200"/>
    <cellStyle name="Normal 5 2" xfId="201"/>
    <cellStyle name="Normal 50" xfId="202"/>
    <cellStyle name="Normal 51" xfId="203"/>
    <cellStyle name="Normal 52" xfId="204"/>
    <cellStyle name="Normal 53" xfId="205"/>
    <cellStyle name="Normal 54" xfId="206"/>
    <cellStyle name="Normal 55" xfId="207"/>
    <cellStyle name="Normal 56" xfId="208"/>
    <cellStyle name="Normal 57" xfId="209"/>
    <cellStyle name="Normal 58" xfId="210"/>
    <cellStyle name="Normal 59" xfId="211"/>
    <cellStyle name="Normal 6" xfId="212"/>
    <cellStyle name="Normal 6 2" xfId="213"/>
    <cellStyle name="Normal 60" xfId="214"/>
    <cellStyle name="Normal 61" xfId="215"/>
    <cellStyle name="Normal 62" xfId="216"/>
    <cellStyle name="Normal 7" xfId="217"/>
    <cellStyle name="Normal 7 2" xfId="218"/>
    <cellStyle name="Normal 8" xfId="219"/>
    <cellStyle name="Normal 8 2" xfId="220"/>
    <cellStyle name="Normal 9" xfId="221"/>
    <cellStyle name="Normal 9 2" xfId="222"/>
    <cellStyle name="Note 2" xfId="223"/>
    <cellStyle name="Note 2 2" xfId="224"/>
    <cellStyle name="Note 3" xfId="225"/>
    <cellStyle name="Output 2" xfId="226"/>
    <cellStyle name="Output 2 2" xfId="227"/>
    <cellStyle name="Output 3" xfId="228"/>
    <cellStyle name="Percent" xfId="3" builtinId="5"/>
    <cellStyle name="Percent 2" xfId="229"/>
    <cellStyle name="Percent 2 2" xfId="230"/>
    <cellStyle name="Percent 3" xfId="231"/>
    <cellStyle name="Title 2" xfId="232"/>
    <cellStyle name="Total 2" xfId="233"/>
    <cellStyle name="Total 3" xfId="234"/>
    <cellStyle name="Total 3 2" xfId="235"/>
    <cellStyle name="Total 4" xfId="236"/>
    <cellStyle name="Warning Text 2" xfId="237"/>
    <cellStyle name="똿뗦먛귟 [0.00]_PRODUCT DETAIL Q1" xfId="238"/>
    <cellStyle name="똿뗦먛귟_PRODUCT DETAIL Q1" xfId="239"/>
    <cellStyle name="믅됞 [0.00]_PRODUCT DETAIL Q1" xfId="240"/>
    <cellStyle name="믅됞_PRODUCT DETAIL Q1" xfId="241"/>
    <cellStyle name="백분율_HOBONG" xfId="242"/>
    <cellStyle name="뷭?_BOOKSHIP" xfId="243"/>
    <cellStyle name="콤마 [0]_1202" xfId="244"/>
    <cellStyle name="콤마_1202" xfId="245"/>
    <cellStyle name="통화 [0]_1202" xfId="246"/>
    <cellStyle name="통화_1202" xfId="247"/>
    <cellStyle name="표준_(정보부문)월별인원계획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u%20PTC%20(E)/anh%20thu/Ke%20hoach%205%20nam%20-%20PYN%20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S"/>
      <sheetName val="XL"/>
      <sheetName val="CapNuoc"/>
      <sheetName val="NS ĐẦU TƯ"/>
      <sheetName val="KH 2016"/>
      <sheetName val="số liệu vẽ biểu đồ"/>
      <sheetName val="DT BDS"/>
      <sheetName val="Biểu đồ"/>
      <sheetName val="DT XL"/>
      <sheetName val="Sheet1"/>
    </sheetNames>
    <sheetDataSet>
      <sheetData sheetId="0"/>
      <sheetData sheetId="1">
        <row r="12">
          <cell r="D12">
            <v>84766000</v>
          </cell>
          <cell r="E12">
            <v>130000000</v>
          </cell>
          <cell r="F12">
            <v>148000000</v>
          </cell>
          <cell r="G12">
            <v>170000000</v>
          </cell>
          <cell r="H12">
            <v>197000000</v>
          </cell>
        </row>
      </sheetData>
      <sheetData sheetId="2">
        <row r="11">
          <cell r="M11">
            <v>7000000</v>
          </cell>
          <cell r="N11">
            <v>14388100</v>
          </cell>
          <cell r="O11">
            <v>23024200</v>
          </cell>
          <cell r="P11">
            <v>34871850</v>
          </cell>
          <cell r="Q11">
            <v>49118750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opLeftCell="B1" zoomScale="90" zoomScaleNormal="90" workbookViewId="0">
      <selection activeCell="D7" sqref="D7"/>
    </sheetView>
  </sheetViews>
  <sheetFormatPr defaultRowHeight="15"/>
  <cols>
    <col min="1" max="1" width="5.7109375" style="1" customWidth="1"/>
    <col min="2" max="2" width="47.28515625" style="5" customWidth="1"/>
    <col min="3" max="3" width="18.28515625" style="6" customWidth="1"/>
    <col min="4" max="4" width="14.28515625" style="5" customWidth="1"/>
    <col min="5" max="5" width="12.7109375" style="5" customWidth="1"/>
    <col min="6" max="6" width="13.42578125" style="5" customWidth="1"/>
    <col min="7" max="7" width="14.140625" style="5" customWidth="1"/>
    <col min="8" max="8" width="14.85546875" style="5" customWidth="1"/>
    <col min="9" max="9" width="18.28515625" style="5" customWidth="1"/>
    <col min="10" max="16384" width="9.140625" style="5"/>
  </cols>
  <sheetData>
    <row r="1" spans="1:9">
      <c r="B1" s="2"/>
      <c r="C1" s="3"/>
      <c r="D1" s="4" t="s">
        <v>0</v>
      </c>
      <c r="E1" s="2"/>
      <c r="F1" s="2"/>
      <c r="G1" s="2"/>
      <c r="H1" s="2"/>
    </row>
    <row r="2" spans="1:9">
      <c r="H2" s="7" t="s">
        <v>1</v>
      </c>
    </row>
    <row r="3" spans="1:9">
      <c r="A3" s="256" t="s">
        <v>2</v>
      </c>
      <c r="B3" s="256" t="s">
        <v>3</v>
      </c>
      <c r="C3" s="8" t="s">
        <v>4</v>
      </c>
      <c r="D3" s="9"/>
      <c r="E3" s="10"/>
      <c r="F3" s="10" t="s">
        <v>5</v>
      </c>
      <c r="G3" s="10"/>
      <c r="H3" s="11"/>
    </row>
    <row r="4" spans="1:9">
      <c r="A4" s="256"/>
      <c r="B4" s="256"/>
      <c r="C4" s="12"/>
      <c r="D4" s="13">
        <v>2016</v>
      </c>
      <c r="E4" s="13">
        <v>2017</v>
      </c>
      <c r="F4" s="13">
        <v>2018</v>
      </c>
      <c r="G4" s="13">
        <v>2019</v>
      </c>
      <c r="H4" s="13">
        <v>2020</v>
      </c>
    </row>
    <row r="5" spans="1:9">
      <c r="A5" s="14">
        <v>1</v>
      </c>
      <c r="B5" s="15" t="s">
        <v>6</v>
      </c>
      <c r="C5" s="16">
        <f>D5</f>
        <v>20877000</v>
      </c>
      <c r="D5" s="17">
        <v>20877000</v>
      </c>
      <c r="E5" s="17"/>
      <c r="F5" s="17"/>
      <c r="G5" s="17"/>
      <c r="H5" s="17"/>
      <c r="I5" s="18">
        <f t="shared" ref="I5:I11" si="0">SUM(D5:H5)</f>
        <v>20877000</v>
      </c>
    </row>
    <row r="6" spans="1:9">
      <c r="A6" s="14">
        <v>2</v>
      </c>
      <c r="B6" s="15" t="s">
        <v>7</v>
      </c>
      <c r="C6" s="16">
        <v>194000000</v>
      </c>
      <c r="D6" s="17">
        <v>23889000</v>
      </c>
      <c r="E6" s="17"/>
      <c r="F6" s="17"/>
      <c r="G6" s="17"/>
      <c r="H6" s="17"/>
      <c r="I6" s="18">
        <f t="shared" si="0"/>
        <v>23889000</v>
      </c>
    </row>
    <row r="7" spans="1:9">
      <c r="A7" s="14">
        <v>3</v>
      </c>
      <c r="B7" s="15" t="s">
        <v>8</v>
      </c>
      <c r="C7" s="16">
        <v>100000000</v>
      </c>
      <c r="D7" s="17">
        <v>20000000</v>
      </c>
      <c r="E7" s="17">
        <v>30000000</v>
      </c>
      <c r="F7" s="17">
        <v>30000000</v>
      </c>
      <c r="G7" s="17">
        <v>20000000</v>
      </c>
      <c r="H7" s="17"/>
      <c r="I7" s="18">
        <f t="shared" si="0"/>
        <v>100000000</v>
      </c>
    </row>
    <row r="8" spans="1:9">
      <c r="A8" s="14">
        <v>4</v>
      </c>
      <c r="B8" s="15" t="s">
        <v>9</v>
      </c>
      <c r="C8" s="16">
        <v>320000000</v>
      </c>
      <c r="D8" s="17"/>
      <c r="E8" s="17">
        <v>40000000</v>
      </c>
      <c r="F8" s="17">
        <v>53000000</v>
      </c>
      <c r="G8" s="19">
        <v>60000000</v>
      </c>
      <c r="H8" s="17">
        <v>77000000</v>
      </c>
      <c r="I8" s="18">
        <f>SUM(D8:H8)</f>
        <v>230000000</v>
      </c>
    </row>
    <row r="9" spans="1:9">
      <c r="A9" s="14">
        <v>5</v>
      </c>
      <c r="B9" s="15" t="s">
        <v>10</v>
      </c>
      <c r="C9" s="16">
        <f>SUM(D9:H9)</f>
        <v>105000000</v>
      </c>
      <c r="D9" s="17">
        <v>20000000</v>
      </c>
      <c r="E9" s="17">
        <v>20000000</v>
      </c>
      <c r="F9" s="17">
        <v>20000000</v>
      </c>
      <c r="G9" s="17">
        <v>20000000</v>
      </c>
      <c r="H9" s="17">
        <v>25000000</v>
      </c>
      <c r="I9" s="18">
        <f t="shared" si="0"/>
        <v>105000000</v>
      </c>
    </row>
    <row r="10" spans="1:9">
      <c r="A10" s="14">
        <v>6</v>
      </c>
      <c r="B10" s="15" t="s">
        <v>11</v>
      </c>
      <c r="C10" s="16">
        <v>200000000</v>
      </c>
      <c r="D10" s="17"/>
      <c r="E10" s="17">
        <v>20000000</v>
      </c>
      <c r="F10" s="17">
        <v>25000000</v>
      </c>
      <c r="G10" s="19">
        <v>40000000</v>
      </c>
      <c r="H10" s="17">
        <v>55000000</v>
      </c>
      <c r="I10" s="18">
        <f t="shared" si="0"/>
        <v>140000000</v>
      </c>
    </row>
    <row r="11" spans="1:9">
      <c r="A11" s="14">
        <v>7</v>
      </c>
      <c r="B11" s="15" t="s">
        <v>12</v>
      </c>
      <c r="C11" s="16">
        <f>SUM(D11:H11)</f>
        <v>110000000</v>
      </c>
      <c r="D11" s="17"/>
      <c r="E11" s="17">
        <v>20000000</v>
      </c>
      <c r="F11" s="17">
        <v>20000000</v>
      </c>
      <c r="G11" s="17">
        <v>30000000</v>
      </c>
      <c r="H11" s="17">
        <v>40000000</v>
      </c>
      <c r="I11" s="18">
        <f t="shared" si="0"/>
        <v>110000000</v>
      </c>
    </row>
    <row r="12" spans="1:9">
      <c r="A12" s="14"/>
      <c r="B12" s="20" t="s">
        <v>13</v>
      </c>
      <c r="C12" s="21">
        <f t="shared" ref="C12:H12" si="1">SUM(C5:C11)</f>
        <v>1049877000</v>
      </c>
      <c r="D12" s="21">
        <f t="shared" si="1"/>
        <v>84766000</v>
      </c>
      <c r="E12" s="21">
        <f t="shared" si="1"/>
        <v>130000000</v>
      </c>
      <c r="F12" s="21">
        <f t="shared" si="1"/>
        <v>148000000</v>
      </c>
      <c r="G12" s="21">
        <f t="shared" si="1"/>
        <v>170000000</v>
      </c>
      <c r="H12" s="21">
        <f t="shared" si="1"/>
        <v>197000000</v>
      </c>
      <c r="I12" s="18">
        <f>SUM(D12:H12)</f>
        <v>729766000</v>
      </c>
    </row>
    <row r="13" spans="1:9">
      <c r="A13" s="14"/>
      <c r="B13" s="20"/>
      <c r="C13" s="22"/>
      <c r="D13" s="23"/>
      <c r="E13" s="24">
        <f>E12/D12</f>
        <v>1.5336337682561405</v>
      </c>
      <c r="F13" s="24">
        <f t="shared" ref="F13:H13" si="2">F12/E12</f>
        <v>1.1384615384615384</v>
      </c>
      <c r="G13" s="24">
        <f t="shared" si="2"/>
        <v>1.1486486486486487</v>
      </c>
      <c r="H13" s="24">
        <f t="shared" si="2"/>
        <v>1.1588235294117648</v>
      </c>
    </row>
  </sheetData>
  <mergeCells count="2">
    <mergeCell ref="A3:A4"/>
    <mergeCell ref="B3:B4"/>
  </mergeCells>
  <pageMargins left="0.2" right="0.2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Q12"/>
  <sheetViews>
    <sheetView zoomScale="77" zoomScaleNormal="77" workbookViewId="0">
      <selection activeCell="E26" sqref="E26:E27"/>
    </sheetView>
  </sheetViews>
  <sheetFormatPr defaultRowHeight="15"/>
  <cols>
    <col min="1" max="1" width="5.28515625" style="25" customWidth="1"/>
    <col min="2" max="2" width="30.7109375" style="25" customWidth="1"/>
    <col min="3" max="6" width="14.85546875" style="27" customWidth="1"/>
    <col min="7" max="8" width="14.85546875" style="25" customWidth="1"/>
    <col min="9" max="9" width="14.42578125" style="27" customWidth="1"/>
    <col min="10" max="10" width="14.140625" style="25" customWidth="1"/>
    <col min="11" max="11" width="15.140625" style="25" customWidth="1"/>
    <col min="12" max="12" width="15.42578125" style="25" customWidth="1"/>
    <col min="13" max="13" width="14.140625" style="29" customWidth="1"/>
    <col min="14" max="14" width="13.85546875" style="29" customWidth="1"/>
    <col min="15" max="15" width="14.140625" style="29" customWidth="1"/>
    <col min="16" max="16" width="13.140625" style="29" customWidth="1"/>
    <col min="17" max="17" width="13.42578125" style="29" customWidth="1"/>
    <col min="18" max="19" width="17.28515625" style="25" customWidth="1"/>
    <col min="20" max="20" width="16.28515625" style="25" customWidth="1"/>
    <col min="21" max="21" width="15.7109375" style="25" customWidth="1"/>
    <col min="22" max="27" width="12.7109375" style="25" customWidth="1"/>
    <col min="28" max="16384" width="9.140625" style="25"/>
  </cols>
  <sheetData>
    <row r="2" spans="1:17">
      <c r="B2" s="26" t="s">
        <v>14</v>
      </c>
      <c r="L2" s="28" t="s">
        <v>15</v>
      </c>
    </row>
    <row r="3" spans="1:17" s="35" customFormat="1" ht="38.25" customHeight="1">
      <c r="A3" s="30" t="s">
        <v>16</v>
      </c>
      <c r="B3" s="31" t="s">
        <v>17</v>
      </c>
      <c r="C3" s="32" t="s">
        <v>18</v>
      </c>
      <c r="D3" s="32" t="s">
        <v>19</v>
      </c>
      <c r="E3" s="32" t="s">
        <v>20</v>
      </c>
      <c r="F3" s="32" t="s">
        <v>21</v>
      </c>
      <c r="G3" s="32" t="s">
        <v>22</v>
      </c>
      <c r="H3" s="32" t="s">
        <v>23</v>
      </c>
      <c r="I3" s="32" t="s">
        <v>24</v>
      </c>
      <c r="J3" s="32" t="s">
        <v>25</v>
      </c>
      <c r="K3" s="32" t="s">
        <v>26</v>
      </c>
      <c r="L3" s="32" t="s">
        <v>27</v>
      </c>
      <c r="M3" s="33"/>
      <c r="N3" s="33"/>
      <c r="O3" s="34" t="s">
        <v>28</v>
      </c>
      <c r="P3" s="33"/>
      <c r="Q3" s="33"/>
    </row>
    <row r="4" spans="1:17" s="39" customFormat="1" ht="21.75" customHeight="1">
      <c r="A4" s="30"/>
      <c r="B4" s="31"/>
      <c r="C4" s="32"/>
      <c r="D4" s="32"/>
      <c r="E4" s="32"/>
      <c r="F4" s="32"/>
      <c r="G4" s="36"/>
      <c r="H4" s="36"/>
      <c r="I4" s="32"/>
      <c r="J4" s="32"/>
      <c r="K4" s="36"/>
      <c r="L4" s="37"/>
      <c r="M4" s="38" t="s">
        <v>29</v>
      </c>
      <c r="N4" s="38" t="s">
        <v>30</v>
      </c>
      <c r="O4" s="38" t="s">
        <v>31</v>
      </c>
      <c r="P4" s="38" t="s">
        <v>32</v>
      </c>
      <c r="Q4" s="38" t="s">
        <v>33</v>
      </c>
    </row>
    <row r="5" spans="1:17" ht="15" customHeight="1">
      <c r="A5" s="40">
        <v>1</v>
      </c>
      <c r="B5" s="41" t="s">
        <v>34</v>
      </c>
      <c r="C5" s="42">
        <v>1200000000</v>
      </c>
      <c r="D5" s="42">
        <f>E5+G5</f>
        <v>300000000</v>
      </c>
      <c r="E5" s="42"/>
      <c r="F5" s="42"/>
      <c r="G5" s="42">
        <v>300000000</v>
      </c>
      <c r="H5" s="42"/>
      <c r="I5" s="42">
        <v>100000</v>
      </c>
      <c r="J5" s="43">
        <v>0.1</v>
      </c>
      <c r="K5" s="42">
        <f t="shared" ref="K5:K10" si="0">G5*J5</f>
        <v>30000000</v>
      </c>
      <c r="L5" s="44" t="s">
        <v>35</v>
      </c>
      <c r="M5" s="45"/>
      <c r="N5" s="45">
        <v>5288100</v>
      </c>
      <c r="O5" s="45">
        <v>7022300</v>
      </c>
      <c r="P5" s="45">
        <v>9916650</v>
      </c>
      <c r="Q5" s="45">
        <v>12982950</v>
      </c>
    </row>
    <row r="6" spans="1:17" ht="15" customHeight="1">
      <c r="A6" s="46">
        <v>2</v>
      </c>
      <c r="B6" s="47" t="s">
        <v>36</v>
      </c>
      <c r="C6" s="42">
        <v>1200000000</v>
      </c>
      <c r="D6" s="42">
        <f t="shared" ref="D6:D9" si="1">E6+G6</f>
        <v>300000000</v>
      </c>
      <c r="E6" s="42"/>
      <c r="F6" s="42"/>
      <c r="G6" s="42">
        <v>300000000</v>
      </c>
      <c r="H6" s="42"/>
      <c r="I6" s="42">
        <v>100000</v>
      </c>
      <c r="J6" s="43">
        <v>0.3</v>
      </c>
      <c r="K6" s="42">
        <f t="shared" si="0"/>
        <v>90000000</v>
      </c>
      <c r="L6" s="44" t="s">
        <v>37</v>
      </c>
      <c r="M6" s="42"/>
      <c r="N6" s="42"/>
      <c r="O6" s="42">
        <v>4171900</v>
      </c>
      <c r="P6" s="42">
        <v>9576200</v>
      </c>
      <c r="Q6" s="42">
        <v>15044600</v>
      </c>
    </row>
    <row r="7" spans="1:17" ht="15" customHeight="1">
      <c r="A7" s="48">
        <v>4</v>
      </c>
      <c r="B7" s="49" t="s">
        <v>38</v>
      </c>
      <c r="C7" s="50">
        <v>65000000</v>
      </c>
      <c r="D7" s="42">
        <f t="shared" si="1"/>
        <v>70000000</v>
      </c>
      <c r="E7" s="50">
        <v>45000000</v>
      </c>
      <c r="F7" s="50"/>
      <c r="G7" s="50">
        <v>25000000</v>
      </c>
      <c r="H7" s="50"/>
      <c r="I7" s="42">
        <v>15000</v>
      </c>
      <c r="J7" s="43">
        <v>0.4</v>
      </c>
      <c r="K7" s="42">
        <f t="shared" si="0"/>
        <v>10000000</v>
      </c>
      <c r="L7" s="44" t="s">
        <v>29</v>
      </c>
      <c r="M7" s="42">
        <v>5000000</v>
      </c>
      <c r="N7" s="42">
        <f>M7*1.3</f>
        <v>6500000</v>
      </c>
      <c r="O7" s="42">
        <f t="shared" ref="O7:Q8" si="2">N7*1.3</f>
        <v>8450000</v>
      </c>
      <c r="P7" s="42">
        <f t="shared" si="2"/>
        <v>10985000</v>
      </c>
      <c r="Q7" s="42">
        <f>P7*1.4</f>
        <v>15378999.999999998</v>
      </c>
    </row>
    <row r="8" spans="1:17" ht="15" customHeight="1">
      <c r="A8" s="51">
        <v>5</v>
      </c>
      <c r="B8" s="52" t="s">
        <v>39</v>
      </c>
      <c r="C8" s="50">
        <v>45000000</v>
      </c>
      <c r="D8" s="42">
        <f t="shared" si="1"/>
        <v>45000000</v>
      </c>
      <c r="E8" s="50">
        <v>30000000</v>
      </c>
      <c r="F8" s="50"/>
      <c r="G8" s="50">
        <v>15000000</v>
      </c>
      <c r="H8" s="50"/>
      <c r="I8" s="42">
        <v>5000</v>
      </c>
      <c r="J8" s="43">
        <v>0.4</v>
      </c>
      <c r="K8" s="42">
        <f>G8*J8</f>
        <v>6000000</v>
      </c>
      <c r="L8" s="44" t="s">
        <v>29</v>
      </c>
      <c r="M8" s="42">
        <v>2000000</v>
      </c>
      <c r="N8" s="42">
        <f>M8*1.3</f>
        <v>2600000</v>
      </c>
      <c r="O8" s="42">
        <f t="shared" si="2"/>
        <v>3380000</v>
      </c>
      <c r="P8" s="42">
        <f t="shared" si="2"/>
        <v>4394000</v>
      </c>
      <c r="Q8" s="42">
        <f t="shared" si="2"/>
        <v>5712200</v>
      </c>
    </row>
    <row r="9" spans="1:17" ht="15" customHeight="1">
      <c r="A9" s="51">
        <v>3</v>
      </c>
      <c r="B9" s="52" t="s">
        <v>40</v>
      </c>
      <c r="C9" s="42">
        <v>160388000</v>
      </c>
      <c r="D9" s="42">
        <f t="shared" si="1"/>
        <v>172000000</v>
      </c>
      <c r="E9" s="42">
        <v>72000000</v>
      </c>
      <c r="F9" s="42">
        <v>-12765000</v>
      </c>
      <c r="G9" s="42">
        <v>100000000</v>
      </c>
      <c r="H9" s="42">
        <f>G9</f>
        <v>100000000</v>
      </c>
      <c r="I9" s="42">
        <v>25000</v>
      </c>
      <c r="J9" s="43">
        <v>0.1</v>
      </c>
      <c r="K9" s="42">
        <f t="shared" si="0"/>
        <v>10000000</v>
      </c>
      <c r="L9" s="44" t="s">
        <v>41</v>
      </c>
      <c r="M9" s="42"/>
      <c r="N9" s="42">
        <f>M9*1.1</f>
        <v>0</v>
      </c>
      <c r="O9" s="42">
        <f t="shared" ref="O9" si="3">N9*1.1</f>
        <v>0</v>
      </c>
      <c r="P9" s="42">
        <f>O9*1.2</f>
        <v>0</v>
      </c>
      <c r="Q9" s="42">
        <f>P9*1.4</f>
        <v>0</v>
      </c>
    </row>
    <row r="10" spans="1:17" ht="15" customHeight="1">
      <c r="A10" s="48">
        <v>6</v>
      </c>
      <c r="B10" s="49" t="s">
        <v>42</v>
      </c>
      <c r="C10" s="50">
        <v>190000000</v>
      </c>
      <c r="D10" s="42">
        <f>E10+G10</f>
        <v>177000000</v>
      </c>
      <c r="E10" s="50">
        <v>87000000</v>
      </c>
      <c r="F10" s="50">
        <v>-8552000</v>
      </c>
      <c r="G10" s="50">
        <v>90000000</v>
      </c>
      <c r="H10" s="50">
        <v>80221000</v>
      </c>
      <c r="I10" s="42">
        <v>30000</v>
      </c>
      <c r="J10" s="43">
        <v>0.4</v>
      </c>
      <c r="K10" s="42">
        <f t="shared" si="0"/>
        <v>36000000</v>
      </c>
      <c r="L10" s="44" t="s">
        <v>43</v>
      </c>
      <c r="M10" s="42"/>
      <c r="N10" s="42">
        <f>M10*1.3</f>
        <v>0</v>
      </c>
      <c r="O10" s="42">
        <f>N10*1.2</f>
        <v>0</v>
      </c>
      <c r="P10" s="42">
        <f>O10*1.25</f>
        <v>0</v>
      </c>
      <c r="Q10" s="42">
        <f>P10*1.4</f>
        <v>0</v>
      </c>
    </row>
    <row r="11" spans="1:17">
      <c r="A11" s="41"/>
      <c r="B11" s="41"/>
      <c r="C11" s="53">
        <f>SUM(C5:C10)</f>
        <v>2860388000</v>
      </c>
      <c r="D11" s="53">
        <f t="shared" ref="D11:I11" si="4">SUM(D5:D10)</f>
        <v>1064000000</v>
      </c>
      <c r="E11" s="53">
        <f t="shared" si="4"/>
        <v>234000000</v>
      </c>
      <c r="F11" s="53">
        <f t="shared" si="4"/>
        <v>-21317000</v>
      </c>
      <c r="G11" s="53">
        <f t="shared" si="4"/>
        <v>830000000</v>
      </c>
      <c r="H11" s="53">
        <f t="shared" si="4"/>
        <v>180221000</v>
      </c>
      <c r="I11" s="53">
        <f t="shared" si="4"/>
        <v>275000</v>
      </c>
      <c r="J11" s="53"/>
      <c r="K11" s="53">
        <f>SUM(K5:K10)</f>
        <v>182000000</v>
      </c>
      <c r="L11" s="41"/>
      <c r="M11" s="54">
        <f>SUM(M5:M10)</f>
        <v>7000000</v>
      </c>
      <c r="N11" s="54">
        <f t="shared" ref="N11:Q11" si="5">SUM(N5:N10)</f>
        <v>14388100</v>
      </c>
      <c r="O11" s="54">
        <f t="shared" si="5"/>
        <v>23024200</v>
      </c>
      <c r="P11" s="54">
        <f t="shared" si="5"/>
        <v>34871850</v>
      </c>
      <c r="Q11" s="54">
        <f t="shared" si="5"/>
        <v>49118750</v>
      </c>
    </row>
    <row r="12" spans="1:17">
      <c r="N12" s="55"/>
      <c r="O12" s="55"/>
      <c r="P12" s="55"/>
      <c r="Q12" s="5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9"/>
  <sheetViews>
    <sheetView topLeftCell="F7" zoomScale="90" zoomScaleNormal="90" workbookViewId="0">
      <selection activeCell="I54" sqref="I54"/>
    </sheetView>
  </sheetViews>
  <sheetFormatPr defaultRowHeight="15"/>
  <cols>
    <col min="1" max="1" width="4.28515625" style="25" customWidth="1"/>
    <col min="2" max="2" width="20.5703125" style="25" customWidth="1"/>
    <col min="3" max="4" width="19.7109375" style="181" customWidth="1"/>
    <col min="5" max="5" width="19.7109375" style="182" customWidth="1"/>
    <col min="6" max="6" width="19.7109375" style="181" customWidth="1"/>
    <col min="7" max="7" width="19.7109375" style="183" customWidth="1"/>
    <col min="8" max="8" width="22.7109375" style="181" customWidth="1"/>
    <col min="9" max="9" width="8.42578125" style="182" customWidth="1"/>
    <col min="10" max="10" width="19.42578125" style="181" customWidth="1"/>
    <col min="11" max="11" width="6.85546875" style="183" customWidth="1"/>
    <col min="12" max="12" width="17.85546875" style="181" customWidth="1"/>
    <col min="13" max="13" width="7.5703125" style="55" customWidth="1"/>
    <col min="14" max="14" width="16.85546875" style="181" customWidth="1"/>
    <col min="15" max="15" width="9" style="183" customWidth="1"/>
    <col min="16" max="16" width="16" style="55" bestFit="1" customWidth="1"/>
    <col min="17" max="17" width="8.28515625" style="101" customWidth="1"/>
    <col min="18" max="18" width="17.7109375" style="55" customWidth="1"/>
    <col min="19" max="19" width="7.5703125" style="101" customWidth="1"/>
    <col min="20" max="20" width="13.85546875" style="25" customWidth="1"/>
    <col min="21" max="21" width="22.140625" style="25" customWidth="1"/>
    <col min="22" max="16384" width="9.140625" style="25"/>
  </cols>
  <sheetData>
    <row r="1" spans="1:21" ht="23.25">
      <c r="C1" s="25"/>
      <c r="D1" s="25"/>
      <c r="E1" s="99"/>
      <c r="F1" s="25"/>
      <c r="G1" s="25"/>
      <c r="H1" s="25"/>
      <c r="I1" s="99"/>
      <c r="J1" s="25"/>
      <c r="K1" s="27"/>
      <c r="L1" s="100" t="s">
        <v>148</v>
      </c>
      <c r="M1" s="25"/>
      <c r="N1" s="25"/>
      <c r="O1" s="27"/>
      <c r="P1" s="25"/>
      <c r="R1" s="25"/>
    </row>
    <row r="3" spans="1:21" s="39" customFormat="1" ht="36.75" customHeight="1">
      <c r="A3" s="257" t="s">
        <v>149</v>
      </c>
      <c r="B3" s="257" t="s">
        <v>150</v>
      </c>
      <c r="C3" s="258" t="s">
        <v>151</v>
      </c>
      <c r="D3" s="102"/>
      <c r="E3" s="103"/>
      <c r="F3" s="104" t="s">
        <v>152</v>
      </c>
      <c r="G3" s="259" t="s">
        <v>153</v>
      </c>
      <c r="H3" s="105"/>
      <c r="I3" s="106"/>
      <c r="J3" s="105"/>
      <c r="K3" s="107"/>
      <c r="L3" s="104" t="s">
        <v>154</v>
      </c>
      <c r="M3" s="108"/>
      <c r="N3" s="104"/>
      <c r="O3" s="108"/>
      <c r="P3" s="108"/>
      <c r="Q3" s="109"/>
      <c r="R3" s="108"/>
      <c r="S3" s="109"/>
      <c r="T3" s="261" t="s">
        <v>155</v>
      </c>
      <c r="U3" s="110"/>
    </row>
    <row r="4" spans="1:21" s="39" customFormat="1" ht="36.75" customHeight="1">
      <c r="A4" s="257"/>
      <c r="B4" s="257"/>
      <c r="C4" s="258"/>
      <c r="D4" s="104" t="s">
        <v>156</v>
      </c>
      <c r="E4" s="106"/>
      <c r="F4" s="111" t="s">
        <v>157</v>
      </c>
      <c r="G4" s="260"/>
      <c r="H4" s="112" t="s">
        <v>158</v>
      </c>
      <c r="I4" s="113"/>
      <c r="J4" s="112" t="s">
        <v>29</v>
      </c>
      <c r="K4" s="114"/>
      <c r="L4" s="112" t="s">
        <v>30</v>
      </c>
      <c r="M4" s="114"/>
      <c r="N4" s="112" t="s">
        <v>31</v>
      </c>
      <c r="O4" s="114"/>
      <c r="P4" s="112" t="s">
        <v>32</v>
      </c>
      <c r="Q4" s="115"/>
      <c r="R4" s="112" t="s">
        <v>33</v>
      </c>
      <c r="S4" s="115"/>
      <c r="T4" s="261"/>
      <c r="U4" s="110"/>
    </row>
    <row r="5" spans="1:21">
      <c r="A5" s="116" t="s">
        <v>159</v>
      </c>
      <c r="B5" s="116" t="s">
        <v>160</v>
      </c>
      <c r="C5" s="117"/>
      <c r="D5" s="117"/>
      <c r="E5" s="118"/>
      <c r="F5" s="117"/>
      <c r="G5" s="119"/>
      <c r="H5" s="117"/>
      <c r="I5" s="118"/>
      <c r="J5" s="117"/>
      <c r="K5" s="119"/>
      <c r="L5" s="117"/>
      <c r="M5" s="120"/>
      <c r="N5" s="117"/>
      <c r="O5" s="119"/>
      <c r="P5" s="120"/>
      <c r="Q5" s="121"/>
      <c r="R5" s="120"/>
      <c r="S5" s="121"/>
      <c r="T5" s="120"/>
      <c r="U5" s="122"/>
    </row>
    <row r="6" spans="1:21" s="39" customFormat="1" ht="30.75" customHeight="1">
      <c r="A6" s="123">
        <v>1</v>
      </c>
      <c r="B6" s="124" t="s">
        <v>161</v>
      </c>
      <c r="C6" s="125">
        <v>185000000</v>
      </c>
      <c r="D6" s="125">
        <v>275000000</v>
      </c>
      <c r="E6" s="126">
        <f>D6/C6</f>
        <v>1.4864864864864864</v>
      </c>
      <c r="F6" s="127">
        <v>230644651</v>
      </c>
      <c r="G6" s="128">
        <f>F6/D6</f>
        <v>0.83870782181818182</v>
      </c>
      <c r="H6" s="127">
        <f>D6-F6</f>
        <v>44355349</v>
      </c>
      <c r="I6" s="129">
        <f>K6+M6+O6+Q6+S6</f>
        <v>0.99999999999999989</v>
      </c>
      <c r="J6" s="127">
        <f>H6*K6</f>
        <v>17742139.600000001</v>
      </c>
      <c r="K6" s="130">
        <v>0.4</v>
      </c>
      <c r="L6" s="127">
        <f>(D6-F6)*M6</f>
        <v>13306604.699999999</v>
      </c>
      <c r="M6" s="131">
        <v>0.3</v>
      </c>
      <c r="N6" s="127">
        <f>H6*O6</f>
        <v>8871069.8000000007</v>
      </c>
      <c r="O6" s="130">
        <v>0.2</v>
      </c>
      <c r="P6" s="127">
        <f>H6*Q6</f>
        <v>4435534.9000000004</v>
      </c>
      <c r="Q6" s="132">
        <v>0.1</v>
      </c>
      <c r="R6" s="125"/>
      <c r="S6" s="132"/>
      <c r="T6" s="133"/>
      <c r="U6" s="134"/>
    </row>
    <row r="7" spans="1:21" s="39" customFormat="1" ht="37.5" customHeight="1">
      <c r="A7" s="123">
        <v>2</v>
      </c>
      <c r="B7" s="124" t="s">
        <v>162</v>
      </c>
      <c r="C7" s="125">
        <v>94095139</v>
      </c>
      <c r="D7" s="125">
        <v>136857000</v>
      </c>
      <c r="E7" s="126">
        <f t="shared" ref="E7:E16" si="0">D7/C7</f>
        <v>1.4544534548166193</v>
      </c>
      <c r="F7" s="127">
        <v>101486231</v>
      </c>
      <c r="G7" s="128">
        <f>F7/D7</f>
        <v>0.74154943481151858</v>
      </c>
      <c r="H7" s="127">
        <f t="shared" ref="H7:H12" si="1">D7-F7</f>
        <v>35370769</v>
      </c>
      <c r="I7" s="129">
        <f t="shared" ref="I7:I16" si="2">K7+M7+O7+Q7+S7</f>
        <v>0.99999999999999989</v>
      </c>
      <c r="J7" s="127">
        <f t="shared" ref="J7:J9" si="3">H7*K7</f>
        <v>14148307.600000001</v>
      </c>
      <c r="K7" s="130">
        <v>0.4</v>
      </c>
      <c r="L7" s="127">
        <f>(D7-F7)*M7</f>
        <v>10611230.699999999</v>
      </c>
      <c r="M7" s="131">
        <v>0.3</v>
      </c>
      <c r="N7" s="127">
        <f>H7*O7</f>
        <v>7074153.8000000007</v>
      </c>
      <c r="O7" s="130">
        <v>0.2</v>
      </c>
      <c r="P7" s="127">
        <f t="shared" ref="P7:P10" si="4">H7*Q7</f>
        <v>3537076.9000000004</v>
      </c>
      <c r="Q7" s="132">
        <v>0.1</v>
      </c>
      <c r="R7" s="125"/>
      <c r="S7" s="132"/>
      <c r="T7" s="135"/>
      <c r="U7" s="136"/>
    </row>
    <row r="8" spans="1:21" s="39" customFormat="1" ht="17.25" customHeight="1">
      <c r="A8" s="123">
        <v>3</v>
      </c>
      <c r="B8" s="123" t="s">
        <v>163</v>
      </c>
      <c r="C8" s="125">
        <v>110657865</v>
      </c>
      <c r="D8" s="125">
        <v>295983000</v>
      </c>
      <c r="E8" s="126">
        <f t="shared" si="0"/>
        <v>2.6747579125984404</v>
      </c>
      <c r="F8" s="127">
        <v>149788213</v>
      </c>
      <c r="G8" s="128">
        <f>F8/D8</f>
        <v>0.50607032498488091</v>
      </c>
      <c r="H8" s="127">
        <f t="shared" si="1"/>
        <v>146194787</v>
      </c>
      <c r="I8" s="129">
        <f t="shared" si="2"/>
        <v>0.99999999999999989</v>
      </c>
      <c r="J8" s="127">
        <f t="shared" si="3"/>
        <v>43858436.100000001</v>
      </c>
      <c r="K8" s="130">
        <v>0.3</v>
      </c>
      <c r="L8" s="127">
        <f>(D8-F8)*M8</f>
        <v>29238957.400000002</v>
      </c>
      <c r="M8" s="131">
        <v>0.2</v>
      </c>
      <c r="N8" s="127">
        <f>H8*O8</f>
        <v>29238957.400000002</v>
      </c>
      <c r="O8" s="130">
        <v>0.2</v>
      </c>
      <c r="P8" s="127">
        <f>H8*Q8</f>
        <v>29238957.400000002</v>
      </c>
      <c r="Q8" s="132">
        <v>0.2</v>
      </c>
      <c r="R8" s="125">
        <f t="shared" ref="R8:R12" si="5">H8*S8</f>
        <v>14619478.700000001</v>
      </c>
      <c r="S8" s="132">
        <v>0.1</v>
      </c>
      <c r="T8" s="137"/>
      <c r="U8" s="138"/>
    </row>
    <row r="9" spans="1:21" s="39" customFormat="1">
      <c r="A9" s="123">
        <v>4</v>
      </c>
      <c r="B9" s="123" t="s">
        <v>164</v>
      </c>
      <c r="C9" s="125">
        <v>88938692</v>
      </c>
      <c r="D9" s="125">
        <v>173662000</v>
      </c>
      <c r="E9" s="126">
        <f t="shared" si="0"/>
        <v>1.9526034855560952</v>
      </c>
      <c r="F9" s="139">
        <v>138295963</v>
      </c>
      <c r="G9" s="128">
        <f>F9/D9</f>
        <v>0.7963513203809699</v>
      </c>
      <c r="H9" s="127">
        <f t="shared" si="1"/>
        <v>35366037</v>
      </c>
      <c r="I9" s="129">
        <f t="shared" si="2"/>
        <v>1</v>
      </c>
      <c r="J9" s="127">
        <f t="shared" si="3"/>
        <v>14146414.800000001</v>
      </c>
      <c r="K9" s="130">
        <v>0.4</v>
      </c>
      <c r="L9" s="127">
        <f>(D9-F9)*M9</f>
        <v>7073207.4000000004</v>
      </c>
      <c r="M9" s="131">
        <v>0.2</v>
      </c>
      <c r="N9" s="127">
        <f>H9*O9</f>
        <v>7073207.4000000004</v>
      </c>
      <c r="O9" s="130">
        <v>0.2</v>
      </c>
      <c r="P9" s="127">
        <f t="shared" si="4"/>
        <v>3536603.7</v>
      </c>
      <c r="Q9" s="132">
        <v>0.1</v>
      </c>
      <c r="R9" s="125">
        <f t="shared" si="5"/>
        <v>3536603.7</v>
      </c>
      <c r="S9" s="140">
        <v>0.1</v>
      </c>
      <c r="T9" s="137"/>
      <c r="U9" s="138"/>
    </row>
    <row r="10" spans="1:21" s="39" customFormat="1">
      <c r="A10" s="123">
        <v>5</v>
      </c>
      <c r="B10" s="123" t="s">
        <v>165</v>
      </c>
      <c r="C10" s="125">
        <v>45980623</v>
      </c>
      <c r="D10" s="125">
        <v>97072000</v>
      </c>
      <c r="E10" s="126">
        <f t="shared" si="0"/>
        <v>2.1111501686264669</v>
      </c>
      <c r="F10" s="139">
        <v>78365403</v>
      </c>
      <c r="G10" s="128">
        <f>F10/D10</f>
        <v>0.80729152587769903</v>
      </c>
      <c r="H10" s="127">
        <f t="shared" si="1"/>
        <v>18706597</v>
      </c>
      <c r="I10" s="129">
        <f t="shared" si="2"/>
        <v>1</v>
      </c>
      <c r="J10" s="127">
        <f>H10*K10</f>
        <v>7482638.8000000007</v>
      </c>
      <c r="K10" s="130">
        <v>0.4</v>
      </c>
      <c r="L10" s="127">
        <f t="shared" ref="L10" si="6">(D10-F10)*M10</f>
        <v>3741319.4000000004</v>
      </c>
      <c r="M10" s="131">
        <v>0.2</v>
      </c>
      <c r="N10" s="127">
        <f>H10*O10</f>
        <v>3741319.4000000004</v>
      </c>
      <c r="O10" s="130">
        <v>0.2</v>
      </c>
      <c r="P10" s="127">
        <f t="shared" si="4"/>
        <v>1870659.7000000002</v>
      </c>
      <c r="Q10" s="132">
        <v>0.1</v>
      </c>
      <c r="R10" s="141">
        <f t="shared" si="5"/>
        <v>1870659.7000000002</v>
      </c>
      <c r="S10" s="142">
        <v>0.1</v>
      </c>
      <c r="T10" s="137"/>
      <c r="U10" s="138"/>
    </row>
    <row r="11" spans="1:21">
      <c r="A11" s="143" t="s">
        <v>166</v>
      </c>
      <c r="B11" s="143" t="s">
        <v>167</v>
      </c>
      <c r="C11" s="144"/>
      <c r="D11" s="144"/>
      <c r="E11" s="126"/>
      <c r="F11" s="144"/>
      <c r="G11" s="145"/>
      <c r="H11" s="146">
        <f t="shared" si="1"/>
        <v>0</v>
      </c>
      <c r="I11" s="129"/>
      <c r="J11" s="146">
        <f t="shared" ref="J11:J15" si="7">H11*K11</f>
        <v>0</v>
      </c>
      <c r="K11" s="147"/>
      <c r="L11" s="144"/>
      <c r="M11" s="148"/>
      <c r="N11" s="144"/>
      <c r="O11" s="147"/>
      <c r="P11" s="148"/>
      <c r="Q11" s="149"/>
      <c r="R11" s="141"/>
      <c r="S11" s="149"/>
      <c r="T11" s="148"/>
      <c r="U11" s="122"/>
    </row>
    <row r="12" spans="1:21">
      <c r="A12" s="150">
        <v>6</v>
      </c>
      <c r="B12" s="150" t="s">
        <v>168</v>
      </c>
      <c r="C12" s="141">
        <v>106280780</v>
      </c>
      <c r="D12" s="141">
        <v>201790000</v>
      </c>
      <c r="E12" s="126">
        <f t="shared" si="0"/>
        <v>1.8986499722715622</v>
      </c>
      <c r="F12" s="141"/>
      <c r="G12" s="145">
        <f>F12/D12</f>
        <v>0</v>
      </c>
      <c r="H12" s="146">
        <f t="shared" si="1"/>
        <v>201790000</v>
      </c>
      <c r="I12" s="129">
        <f>K12+M12+O12+Q12+S12</f>
        <v>1</v>
      </c>
      <c r="J12" s="146">
        <f>H12*K12</f>
        <v>74662300</v>
      </c>
      <c r="K12" s="151">
        <v>0.37</v>
      </c>
      <c r="L12" s="146">
        <f t="shared" ref="L12:L15" si="8">(D12-F12)*M12</f>
        <v>127127700</v>
      </c>
      <c r="M12" s="152">
        <v>0.63</v>
      </c>
      <c r="N12" s="141">
        <f>H12*O12</f>
        <v>0</v>
      </c>
      <c r="O12" s="145"/>
      <c r="P12" s="141">
        <f t="shared" ref="P12" si="9">H12*Q12</f>
        <v>0</v>
      </c>
      <c r="Q12" s="153"/>
      <c r="R12" s="141">
        <f t="shared" si="5"/>
        <v>0</v>
      </c>
      <c r="S12" s="153"/>
      <c r="T12" s="154"/>
      <c r="U12" s="155"/>
    </row>
    <row r="13" spans="1:21">
      <c r="A13" s="143" t="s">
        <v>169</v>
      </c>
      <c r="B13" s="143" t="s">
        <v>170</v>
      </c>
      <c r="C13" s="144"/>
      <c r="D13" s="144"/>
      <c r="E13" s="126"/>
      <c r="F13" s="144"/>
      <c r="G13" s="145"/>
      <c r="H13" s="144"/>
      <c r="I13" s="129"/>
      <c r="J13" s="146">
        <f t="shared" si="7"/>
        <v>0</v>
      </c>
      <c r="K13" s="147"/>
      <c r="L13" s="146">
        <f t="shared" si="8"/>
        <v>0</v>
      </c>
      <c r="M13" s="148"/>
      <c r="N13" s="144"/>
      <c r="O13" s="147"/>
      <c r="P13" s="141"/>
      <c r="Q13" s="149"/>
      <c r="R13" s="141"/>
      <c r="S13" s="149"/>
      <c r="T13" s="148"/>
      <c r="U13" s="122"/>
    </row>
    <row r="14" spans="1:21">
      <c r="A14" s="150">
        <v>8</v>
      </c>
      <c r="B14" s="150" t="s">
        <v>171</v>
      </c>
      <c r="C14" s="141">
        <v>705513997</v>
      </c>
      <c r="D14" s="141">
        <v>1508636000</v>
      </c>
      <c r="E14" s="126">
        <f t="shared" si="0"/>
        <v>2.1383502048365455</v>
      </c>
      <c r="F14" s="141"/>
      <c r="G14" s="145">
        <f>F14/D14</f>
        <v>0</v>
      </c>
      <c r="H14" s="141">
        <f>D14</f>
        <v>1508636000</v>
      </c>
      <c r="I14" s="129">
        <f t="shared" si="2"/>
        <v>0.6</v>
      </c>
      <c r="J14" s="146">
        <f t="shared" si="7"/>
        <v>0</v>
      </c>
      <c r="K14" s="145"/>
      <c r="L14" s="146">
        <f t="shared" si="8"/>
        <v>0</v>
      </c>
      <c r="M14" s="156"/>
      <c r="N14" s="141">
        <f>H14*O14</f>
        <v>196122680</v>
      </c>
      <c r="O14" s="153">
        <v>0.13</v>
      </c>
      <c r="P14" s="141">
        <f>H14*Q14</f>
        <v>271554480</v>
      </c>
      <c r="Q14" s="153">
        <v>0.18</v>
      </c>
      <c r="R14" s="141">
        <f>H14*S14</f>
        <v>437504439.99999994</v>
      </c>
      <c r="S14" s="153">
        <v>0.28999999999999998</v>
      </c>
      <c r="T14" s="154"/>
      <c r="U14" s="155"/>
    </row>
    <row r="15" spans="1:21" s="162" customFormat="1" ht="45">
      <c r="A15" s="157">
        <v>7</v>
      </c>
      <c r="B15" s="158" t="s">
        <v>172</v>
      </c>
      <c r="C15" s="159">
        <v>174068739</v>
      </c>
      <c r="D15" s="159">
        <v>233012900</v>
      </c>
      <c r="E15" s="126">
        <f t="shared" si="0"/>
        <v>1.3386257712822289</v>
      </c>
      <c r="F15" s="160"/>
      <c r="G15" s="128">
        <f>F15/D15</f>
        <v>0</v>
      </c>
      <c r="H15" s="159">
        <f>D15</f>
        <v>233012900</v>
      </c>
      <c r="I15" s="129">
        <f t="shared" si="2"/>
        <v>0.37</v>
      </c>
      <c r="J15" s="127">
        <f t="shared" si="7"/>
        <v>0</v>
      </c>
      <c r="K15" s="128"/>
      <c r="L15" s="127">
        <f t="shared" si="8"/>
        <v>0</v>
      </c>
      <c r="M15" s="128"/>
      <c r="N15" s="125">
        <f>H15*O15</f>
        <v>0</v>
      </c>
      <c r="O15" s="128"/>
      <c r="P15" s="125">
        <f>H15*Q15</f>
        <v>39612193</v>
      </c>
      <c r="Q15" s="142">
        <v>0.17</v>
      </c>
      <c r="R15" s="125">
        <f>H15*S15</f>
        <v>46602580</v>
      </c>
      <c r="S15" s="142">
        <v>0.2</v>
      </c>
      <c r="T15" s="128"/>
      <c r="U15" s="161"/>
    </row>
    <row r="16" spans="1:21" s="39" customFormat="1" ht="22.5" customHeight="1">
      <c r="A16" s="163">
        <v>9</v>
      </c>
      <c r="B16" s="123" t="s">
        <v>173</v>
      </c>
      <c r="C16" s="164">
        <v>300000000</v>
      </c>
      <c r="D16" s="164">
        <v>200000000</v>
      </c>
      <c r="E16" s="126">
        <f t="shared" si="0"/>
        <v>0.66666666666666663</v>
      </c>
      <c r="F16" s="164"/>
      <c r="G16" s="128"/>
      <c r="H16" s="164">
        <f>D16</f>
        <v>200000000</v>
      </c>
      <c r="I16" s="129">
        <f t="shared" si="2"/>
        <v>0.62</v>
      </c>
      <c r="J16" s="164"/>
      <c r="K16" s="165"/>
      <c r="L16" s="164"/>
      <c r="M16" s="166"/>
      <c r="N16" s="125">
        <f>H16*O16</f>
        <v>24000000</v>
      </c>
      <c r="O16" s="128">
        <v>0.12</v>
      </c>
      <c r="P16" s="125">
        <f>H16*Q16</f>
        <v>40000000</v>
      </c>
      <c r="Q16" s="142">
        <v>0.2</v>
      </c>
      <c r="R16" s="125">
        <f>H16*S16</f>
        <v>60000000</v>
      </c>
      <c r="S16" s="142">
        <v>0.3</v>
      </c>
      <c r="T16" s="166"/>
      <c r="U16" s="138"/>
    </row>
    <row r="17" spans="1:21" s="173" customFormat="1" ht="18.75">
      <c r="A17" s="262" t="s">
        <v>174</v>
      </c>
      <c r="B17" s="262"/>
      <c r="C17" s="167">
        <f>SUM(C6:C16)</f>
        <v>1810535835</v>
      </c>
      <c r="D17" s="167">
        <f>SUM(D6:D16)</f>
        <v>3122012900</v>
      </c>
      <c r="E17" s="168"/>
      <c r="F17" s="167">
        <f>SUM(F6:F16)</f>
        <v>698580461</v>
      </c>
      <c r="G17" s="169"/>
      <c r="H17" s="167">
        <f>SUM(H6:H16)</f>
        <v>2423432439</v>
      </c>
      <c r="I17" s="168"/>
      <c r="J17" s="167">
        <f>SUM(J6:J16)</f>
        <v>172040236.90000001</v>
      </c>
      <c r="K17" s="168"/>
      <c r="L17" s="167">
        <f>SUM(L6:L16)</f>
        <v>191099019.59999999</v>
      </c>
      <c r="M17" s="167"/>
      <c r="N17" s="167">
        <f>SUM(N6:N16)</f>
        <v>276121387.80000001</v>
      </c>
      <c r="O17" s="168">
        <f t="shared" ref="O17:R17" si="10">SUM(O6:O16)</f>
        <v>1.25</v>
      </c>
      <c r="P17" s="167">
        <f t="shared" si="10"/>
        <v>393785505.60000002</v>
      </c>
      <c r="Q17" s="170"/>
      <c r="R17" s="167">
        <f t="shared" si="10"/>
        <v>564133762.0999999</v>
      </c>
      <c r="S17" s="170"/>
      <c r="T17" s="171"/>
      <c r="U17" s="172"/>
    </row>
    <row r="18" spans="1:21" s="174" customFormat="1" ht="18.75" hidden="1">
      <c r="E18" s="175"/>
      <c r="G18" s="176"/>
      <c r="H18" s="177" t="s">
        <v>175</v>
      </c>
      <c r="I18" s="175"/>
      <c r="K18" s="176"/>
      <c r="L18" s="178">
        <f>L17/J17</f>
        <v>1.1107809605672543</v>
      </c>
      <c r="M18" s="178"/>
      <c r="N18" s="178">
        <f>N17/L17</f>
        <v>1.4449126341828706</v>
      </c>
      <c r="O18" s="179"/>
      <c r="P18" s="178">
        <f>P17/N17</f>
        <v>1.4261318499718187</v>
      </c>
      <c r="Q18" s="179"/>
      <c r="R18" s="178">
        <f>R17/P17</f>
        <v>1.4325914846470669</v>
      </c>
      <c r="S18" s="180"/>
    </row>
    <row r="19" spans="1:21" ht="18.75" hidden="1">
      <c r="H19" s="177" t="s">
        <v>176</v>
      </c>
      <c r="J19" s="184">
        <f>[1]XL!D12</f>
        <v>84766000</v>
      </c>
      <c r="K19" s="185"/>
      <c r="L19" s="184">
        <f>[1]XL!E12</f>
        <v>130000000</v>
      </c>
      <c r="M19" s="186"/>
      <c r="N19" s="184">
        <f>[1]XL!F12</f>
        <v>148000000</v>
      </c>
      <c r="O19" s="185"/>
      <c r="P19" s="184">
        <f>[1]XL!G12</f>
        <v>170000000</v>
      </c>
      <c r="Q19" s="187"/>
      <c r="R19" s="184">
        <f>[1]XL!H12</f>
        <v>197000000</v>
      </c>
    </row>
    <row r="20" spans="1:21" ht="18.75" hidden="1">
      <c r="H20" s="177"/>
      <c r="L20" s="188">
        <f>L19/J19</f>
        <v>1.5336337682561405</v>
      </c>
      <c r="M20" s="188"/>
      <c r="N20" s="188">
        <f>N19/L19</f>
        <v>1.1384615384615384</v>
      </c>
      <c r="O20" s="189"/>
      <c r="P20" s="188">
        <f>P19/N19</f>
        <v>1.1486486486486487</v>
      </c>
      <c r="Q20" s="189"/>
      <c r="R20" s="188">
        <f>R19/P19</f>
        <v>1.1588235294117648</v>
      </c>
    </row>
    <row r="21" spans="1:21" ht="18.75" hidden="1">
      <c r="H21" s="177"/>
      <c r="I21" s="25"/>
      <c r="J21" s="25"/>
      <c r="L21" s="188"/>
      <c r="M21" s="188"/>
      <c r="N21" s="188"/>
      <c r="O21" s="189"/>
      <c r="P21" s="188"/>
      <c r="Q21" s="189"/>
      <c r="R21" s="188"/>
    </row>
    <row r="22" spans="1:21" ht="18.75" hidden="1">
      <c r="H22" s="177"/>
      <c r="L22" s="188"/>
      <c r="M22" s="188"/>
      <c r="N22" s="188"/>
      <c r="O22" s="189"/>
      <c r="P22" s="188"/>
      <c r="Q22" s="189"/>
      <c r="R22" s="188"/>
    </row>
    <row r="23" spans="1:21" ht="18.75" hidden="1">
      <c r="H23" s="177" t="s">
        <v>177</v>
      </c>
      <c r="J23" s="184">
        <f>[1]CapNuoc!M11</f>
        <v>7000000</v>
      </c>
      <c r="K23" s="185"/>
      <c r="L23" s="184">
        <f>[1]CapNuoc!N11</f>
        <v>14388100</v>
      </c>
      <c r="M23" s="186"/>
      <c r="N23" s="184">
        <f>[1]CapNuoc!O11</f>
        <v>23024200</v>
      </c>
      <c r="O23" s="185"/>
      <c r="P23" s="184">
        <f>[1]CapNuoc!P11</f>
        <v>34871850</v>
      </c>
      <c r="Q23" s="190"/>
      <c r="R23" s="184">
        <f>[1]CapNuoc!Q11</f>
        <v>49118750</v>
      </c>
    </row>
    <row r="24" spans="1:21" ht="18.75" hidden="1">
      <c r="H24" s="177"/>
      <c r="L24" s="191">
        <f>L23/J23</f>
        <v>2.0554428571428573</v>
      </c>
      <c r="M24" s="191"/>
      <c r="N24" s="191">
        <f>N23/L23</f>
        <v>1.6002251860912837</v>
      </c>
      <c r="O24" s="192"/>
      <c r="P24" s="191">
        <f>P23/N23</f>
        <v>1.5145737962665369</v>
      </c>
      <c r="Q24" s="192"/>
      <c r="R24" s="191">
        <f>R23/P23</f>
        <v>1.4085501629537864</v>
      </c>
    </row>
    <row r="25" spans="1:21" ht="18.75" hidden="1">
      <c r="H25" s="177" t="s">
        <v>13</v>
      </c>
      <c r="J25" s="193">
        <f>J17+J19+J23</f>
        <v>263806236.90000001</v>
      </c>
      <c r="K25" s="193"/>
      <c r="L25" s="193">
        <f>L17+L19+L23</f>
        <v>335487119.60000002</v>
      </c>
      <c r="M25" s="193">
        <f t="shared" ref="M25:R25" si="11">M17+M19+M23</f>
        <v>0</v>
      </c>
      <c r="N25" s="193">
        <f t="shared" si="11"/>
        <v>447145587.80000001</v>
      </c>
      <c r="O25" s="193">
        <f t="shared" si="11"/>
        <v>1.25</v>
      </c>
      <c r="P25" s="193">
        <f t="shared" si="11"/>
        <v>598657355.60000002</v>
      </c>
      <c r="Q25" s="194">
        <f t="shared" si="11"/>
        <v>0</v>
      </c>
      <c r="R25" s="193">
        <f t="shared" si="11"/>
        <v>810252512.0999999</v>
      </c>
    </row>
    <row r="26" spans="1:21" s="195" customFormat="1" ht="18.75" hidden="1">
      <c r="C26" s="196"/>
      <c r="D26" s="196"/>
      <c r="E26" s="197"/>
      <c r="F26" s="196"/>
      <c r="G26" s="176"/>
      <c r="H26" s="196"/>
      <c r="I26" s="197"/>
      <c r="J26" s="196"/>
      <c r="K26" s="176"/>
      <c r="L26" s="198">
        <f>L25/J25</f>
        <v>1.2717179227539332</v>
      </c>
      <c r="M26" s="198"/>
      <c r="N26" s="198">
        <f>N25/L25</f>
        <v>1.3328249034810336</v>
      </c>
      <c r="O26" s="199"/>
      <c r="P26" s="198">
        <f>P25/N25</f>
        <v>1.3388421398619914</v>
      </c>
      <c r="Q26" s="199"/>
      <c r="R26" s="198">
        <f>R25/P25</f>
        <v>1.353449522536861</v>
      </c>
      <c r="S26" s="180"/>
    </row>
    <row r="27" spans="1:21" hidden="1"/>
    <row r="28" spans="1:21" s="200" customFormat="1" hidden="1">
      <c r="C28" s="201"/>
      <c r="D28" s="201"/>
      <c r="E28" s="202"/>
      <c r="F28" s="201"/>
      <c r="G28" s="201" t="s">
        <v>178</v>
      </c>
      <c r="I28" s="202"/>
      <c r="J28" s="188">
        <f>J23/J25</f>
        <v>2.6534626634522909E-2</v>
      </c>
      <c r="K28" s="188"/>
      <c r="L28" s="188">
        <f>L23/L25</f>
        <v>4.2887190474420821E-2</v>
      </c>
      <c r="M28" s="188"/>
      <c r="N28" s="188">
        <f t="shared" ref="N28:R28" si="12">N23/N25</f>
        <v>5.149150663273077E-2</v>
      </c>
      <c r="O28" s="188"/>
      <c r="P28" s="188">
        <f t="shared" si="12"/>
        <v>5.8250098614507022E-2</v>
      </c>
      <c r="Q28" s="188"/>
      <c r="R28" s="188">
        <f t="shared" si="12"/>
        <v>6.0621533739765629E-2</v>
      </c>
      <c r="S28" s="189"/>
    </row>
    <row r="29" spans="1:21" hidden="1">
      <c r="G29" s="203" t="s">
        <v>179</v>
      </c>
    </row>
    <row r="30" spans="1:21" hidden="1">
      <c r="H30" s="181">
        <v>420000000</v>
      </c>
    </row>
    <row r="31" spans="1:21" s="204" customFormat="1" hidden="1">
      <c r="C31" s="18"/>
      <c r="D31" s="18"/>
      <c r="E31" s="182"/>
      <c r="F31" s="18"/>
      <c r="G31" s="205"/>
      <c r="H31" s="18"/>
      <c r="I31" s="182"/>
      <c r="J31" s="206">
        <v>0.25</v>
      </c>
      <c r="K31" s="205"/>
      <c r="L31" s="206">
        <v>0.23</v>
      </c>
      <c r="M31" s="206"/>
      <c r="N31" s="206">
        <v>0.17</v>
      </c>
      <c r="O31" s="205"/>
      <c r="P31" s="206">
        <v>0.12</v>
      </c>
      <c r="Q31" s="207"/>
      <c r="R31" s="206">
        <v>0.12</v>
      </c>
      <c r="S31" s="207"/>
    </row>
    <row r="32" spans="1:21" hidden="1">
      <c r="G32" s="201" t="s">
        <v>180</v>
      </c>
      <c r="H32" s="186" t="s">
        <v>181</v>
      </c>
      <c r="I32" s="208">
        <v>0.15</v>
      </c>
      <c r="J32" s="181">
        <f>J17*J31</f>
        <v>43010059.225000001</v>
      </c>
      <c r="K32" s="181">
        <f t="shared" ref="K32" si="13">K17*$I$32</f>
        <v>0</v>
      </c>
      <c r="L32" s="181">
        <f>L17*L31</f>
        <v>43952774.508000001</v>
      </c>
      <c r="M32" s="181"/>
      <c r="N32" s="181">
        <f>N17*N31</f>
        <v>46940635.926000006</v>
      </c>
      <c r="O32" s="181"/>
      <c r="P32" s="181">
        <f>P17*P31</f>
        <v>47254260.671999998</v>
      </c>
      <c r="Q32" s="209"/>
      <c r="R32" s="181">
        <f>R17*R31</f>
        <v>67696051.451999992</v>
      </c>
    </row>
    <row r="33" spans="3:20" hidden="1">
      <c r="H33" s="26" t="s">
        <v>176</v>
      </c>
      <c r="I33" s="208">
        <v>0.05</v>
      </c>
      <c r="J33" s="181">
        <f>J19*8%</f>
        <v>6781280</v>
      </c>
      <c r="K33" s="181">
        <f t="shared" ref="K33" si="14">K19*$I$33</f>
        <v>0</v>
      </c>
      <c r="L33" s="181">
        <f>L19*8%</f>
        <v>10400000</v>
      </c>
      <c r="M33" s="181"/>
      <c r="N33" s="181">
        <f>N19*7.5%</f>
        <v>11100000</v>
      </c>
      <c r="O33" s="181"/>
      <c r="P33" s="181">
        <f>P19*7%</f>
        <v>11900000.000000002</v>
      </c>
      <c r="Q33" s="209"/>
      <c r="R33" s="181">
        <f>R19*6.5%</f>
        <v>12805000</v>
      </c>
    </row>
    <row r="34" spans="3:20" hidden="1">
      <c r="H34" s="26" t="s">
        <v>182</v>
      </c>
      <c r="I34" s="208">
        <v>0.1</v>
      </c>
      <c r="J34" s="181">
        <v>6000000</v>
      </c>
      <c r="K34" s="181"/>
      <c r="L34" s="181">
        <v>8000000</v>
      </c>
      <c r="M34" s="181"/>
      <c r="N34" s="181">
        <f>L34*1.3</f>
        <v>10400000</v>
      </c>
      <c r="O34" s="181"/>
      <c r="P34" s="181">
        <f>N34*1.2</f>
        <v>12480000</v>
      </c>
      <c r="Q34" s="209"/>
      <c r="R34" s="181">
        <f>P34*1.2</f>
        <v>14976000</v>
      </c>
    </row>
    <row r="35" spans="3:20" hidden="1">
      <c r="H35" s="26" t="s">
        <v>177</v>
      </c>
      <c r="I35" s="208">
        <v>0.25</v>
      </c>
      <c r="J35" s="210">
        <f>J23*20%</f>
        <v>1400000</v>
      </c>
      <c r="K35" s="210">
        <f>K23*$I$35</f>
        <v>0</v>
      </c>
      <c r="L35" s="210">
        <f>L23*27%</f>
        <v>3884787.0000000005</v>
      </c>
      <c r="M35" s="210"/>
      <c r="N35" s="210">
        <f>N23*29%</f>
        <v>6677018</v>
      </c>
      <c r="O35" s="210"/>
      <c r="P35" s="210">
        <f>P23*33%</f>
        <v>11507710.5</v>
      </c>
      <c r="Q35" s="211"/>
      <c r="R35" s="210">
        <f>R23*40%</f>
        <v>19647500</v>
      </c>
    </row>
    <row r="36" spans="3:20" hidden="1">
      <c r="H36" s="212" t="s">
        <v>13</v>
      </c>
      <c r="J36" s="184">
        <f>SUM(J32:J35)</f>
        <v>57191339.225000001</v>
      </c>
      <c r="K36" s="184">
        <f t="shared" ref="K36:R36" si="15">SUM(K32:K35)</f>
        <v>0</v>
      </c>
      <c r="L36" s="184">
        <f t="shared" si="15"/>
        <v>66237561.508000001</v>
      </c>
      <c r="M36" s="184">
        <f t="shared" si="15"/>
        <v>0</v>
      </c>
      <c r="N36" s="184">
        <f t="shared" si="15"/>
        <v>75117653.925999999</v>
      </c>
      <c r="O36" s="184">
        <f t="shared" si="15"/>
        <v>0</v>
      </c>
      <c r="P36" s="184">
        <f t="shared" si="15"/>
        <v>83141971.171999991</v>
      </c>
      <c r="Q36" s="190">
        <f t="shared" si="15"/>
        <v>0</v>
      </c>
      <c r="R36" s="184">
        <f t="shared" si="15"/>
        <v>115124551.45199999</v>
      </c>
    </row>
    <row r="37" spans="3:20" hidden="1">
      <c r="G37" s="201" t="s">
        <v>183</v>
      </c>
      <c r="J37" s="209">
        <f>J36/$H$30</f>
        <v>0.13616985529761905</v>
      </c>
      <c r="K37" s="209"/>
      <c r="L37" s="209">
        <f t="shared" ref="L37:R37" si="16">L36/$H$30</f>
        <v>0.15770847978095237</v>
      </c>
      <c r="M37" s="209"/>
      <c r="N37" s="209">
        <f t="shared" si="16"/>
        <v>0.17885155696666666</v>
      </c>
      <c r="O37" s="209"/>
      <c r="P37" s="209">
        <f t="shared" si="16"/>
        <v>0.1979570742190476</v>
      </c>
      <c r="Q37" s="209"/>
      <c r="R37" s="209">
        <f t="shared" si="16"/>
        <v>0.27410607488571426</v>
      </c>
    </row>
    <row r="38" spans="3:20" hidden="1">
      <c r="G38" s="201" t="s">
        <v>184</v>
      </c>
      <c r="J38" s="209">
        <f>J37*0.8</f>
        <v>0.10893588423809525</v>
      </c>
      <c r="K38" s="209"/>
      <c r="L38" s="209">
        <f t="shared" ref="L38:R38" si="17">L37*0.8</f>
        <v>0.1261667838247619</v>
      </c>
      <c r="M38" s="209"/>
      <c r="N38" s="209">
        <f t="shared" si="17"/>
        <v>0.14308124557333332</v>
      </c>
      <c r="O38" s="209"/>
      <c r="P38" s="209">
        <f t="shared" si="17"/>
        <v>0.15836565937523808</v>
      </c>
      <c r="Q38" s="209"/>
      <c r="R38" s="209">
        <f t="shared" si="17"/>
        <v>0.21928485990857141</v>
      </c>
    </row>
    <row r="39" spans="3:20" s="219" customFormat="1" ht="15.75" hidden="1">
      <c r="C39" s="213"/>
      <c r="D39" s="213"/>
      <c r="E39" s="214"/>
      <c r="F39" s="213"/>
      <c r="G39" s="215"/>
      <c r="H39" s="213"/>
      <c r="I39" s="214" t="s">
        <v>185</v>
      </c>
      <c r="J39" s="216">
        <f>J35/J36</f>
        <v>2.4479230928518267E-2</v>
      </c>
      <c r="K39" s="216"/>
      <c r="L39" s="216">
        <f t="shared" ref="L39:P39" si="18">L35/L36</f>
        <v>5.8649305795033017E-2</v>
      </c>
      <c r="M39" s="216"/>
      <c r="N39" s="216">
        <f t="shared" si="18"/>
        <v>8.8887467206812301E-2</v>
      </c>
      <c r="O39" s="216"/>
      <c r="P39" s="216">
        <f t="shared" si="18"/>
        <v>0.13841036407704863</v>
      </c>
      <c r="Q39" s="216"/>
      <c r="R39" s="216">
        <f>R35/R36</f>
        <v>0.17066298849548026</v>
      </c>
      <c r="S39" s="217"/>
      <c r="T39" s="218" t="s">
        <v>186</v>
      </c>
    </row>
  </sheetData>
  <mergeCells count="6">
    <mergeCell ref="A17:B17"/>
    <mergeCell ref="A3:A4"/>
    <mergeCell ref="B3:B4"/>
    <mergeCell ref="C3:C4"/>
    <mergeCell ref="G3:G4"/>
    <mergeCell ref="T3:T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7"/>
  <sheetViews>
    <sheetView topLeftCell="A85" workbookViewId="0">
      <selection activeCell="F90" sqref="F90"/>
    </sheetView>
  </sheetViews>
  <sheetFormatPr defaultRowHeight="15"/>
  <cols>
    <col min="1" max="1" width="9.140625" style="59"/>
    <col min="2" max="2" width="21.42578125" style="59" customWidth="1"/>
    <col min="3" max="3" width="13.7109375" style="59" bestFit="1" customWidth="1"/>
    <col min="4" max="8" width="9.140625" style="59"/>
    <col min="9" max="9" width="17.5703125" style="88" hidden="1" customWidth="1"/>
    <col min="10" max="10" width="23.28515625" style="88" customWidth="1"/>
    <col min="11" max="11" width="12.28515625" style="59" bestFit="1" customWidth="1"/>
    <col min="12" max="12" width="11.140625" style="59" customWidth="1"/>
    <col min="13" max="258" width="9.140625" style="59"/>
    <col min="259" max="259" width="21.42578125" style="59" customWidth="1"/>
    <col min="260" max="260" width="13.7109375" style="59" bestFit="1" customWidth="1"/>
    <col min="261" max="265" width="9.140625" style="59"/>
    <col min="266" max="266" width="17.5703125" style="59" customWidth="1"/>
    <col min="267" max="267" width="12.28515625" style="59" bestFit="1" customWidth="1"/>
    <col min="268" max="268" width="11.140625" style="59" customWidth="1"/>
    <col min="269" max="514" width="9.140625" style="59"/>
    <col min="515" max="515" width="21.42578125" style="59" customWidth="1"/>
    <col min="516" max="516" width="13.7109375" style="59" bestFit="1" customWidth="1"/>
    <col min="517" max="521" width="9.140625" style="59"/>
    <col min="522" max="522" width="17.5703125" style="59" customWidth="1"/>
    <col min="523" max="523" width="12.28515625" style="59" bestFit="1" customWidth="1"/>
    <col min="524" max="524" width="11.140625" style="59" customWidth="1"/>
    <col min="525" max="770" width="9.140625" style="59"/>
    <col min="771" max="771" width="21.42578125" style="59" customWidth="1"/>
    <col min="772" max="772" width="13.7109375" style="59" bestFit="1" customWidth="1"/>
    <col min="773" max="777" width="9.140625" style="59"/>
    <col min="778" max="778" width="17.5703125" style="59" customWidth="1"/>
    <col min="779" max="779" width="12.28515625" style="59" bestFit="1" customWidth="1"/>
    <col min="780" max="780" width="11.140625" style="59" customWidth="1"/>
    <col min="781" max="1026" width="9.140625" style="59"/>
    <col min="1027" max="1027" width="21.42578125" style="59" customWidth="1"/>
    <col min="1028" max="1028" width="13.7109375" style="59" bestFit="1" customWidth="1"/>
    <col min="1029" max="1033" width="9.140625" style="59"/>
    <col min="1034" max="1034" width="17.5703125" style="59" customWidth="1"/>
    <col min="1035" max="1035" width="12.28515625" style="59" bestFit="1" customWidth="1"/>
    <col min="1036" max="1036" width="11.140625" style="59" customWidth="1"/>
    <col min="1037" max="1282" width="9.140625" style="59"/>
    <col min="1283" max="1283" width="21.42578125" style="59" customWidth="1"/>
    <col min="1284" max="1284" width="13.7109375" style="59" bestFit="1" customWidth="1"/>
    <col min="1285" max="1289" width="9.140625" style="59"/>
    <col min="1290" max="1290" width="17.5703125" style="59" customWidth="1"/>
    <col min="1291" max="1291" width="12.28515625" style="59" bestFit="1" customWidth="1"/>
    <col min="1292" max="1292" width="11.140625" style="59" customWidth="1"/>
    <col min="1293" max="1538" width="9.140625" style="59"/>
    <col min="1539" max="1539" width="21.42578125" style="59" customWidth="1"/>
    <col min="1540" max="1540" width="13.7109375" style="59" bestFit="1" customWidth="1"/>
    <col min="1541" max="1545" width="9.140625" style="59"/>
    <col min="1546" max="1546" width="17.5703125" style="59" customWidth="1"/>
    <col min="1547" max="1547" width="12.28515625" style="59" bestFit="1" customWidth="1"/>
    <col min="1548" max="1548" width="11.140625" style="59" customWidth="1"/>
    <col min="1549" max="1794" width="9.140625" style="59"/>
    <col min="1795" max="1795" width="21.42578125" style="59" customWidth="1"/>
    <col min="1796" max="1796" width="13.7109375" style="59" bestFit="1" customWidth="1"/>
    <col min="1797" max="1801" width="9.140625" style="59"/>
    <col min="1802" max="1802" width="17.5703125" style="59" customWidth="1"/>
    <col min="1803" max="1803" width="12.28515625" style="59" bestFit="1" customWidth="1"/>
    <col min="1804" max="1804" width="11.140625" style="59" customWidth="1"/>
    <col min="1805" max="2050" width="9.140625" style="59"/>
    <col min="2051" max="2051" width="21.42578125" style="59" customWidth="1"/>
    <col min="2052" max="2052" width="13.7109375" style="59" bestFit="1" customWidth="1"/>
    <col min="2053" max="2057" width="9.140625" style="59"/>
    <col min="2058" max="2058" width="17.5703125" style="59" customWidth="1"/>
    <col min="2059" max="2059" width="12.28515625" style="59" bestFit="1" customWidth="1"/>
    <col min="2060" max="2060" width="11.140625" style="59" customWidth="1"/>
    <col min="2061" max="2306" width="9.140625" style="59"/>
    <col min="2307" max="2307" width="21.42578125" style="59" customWidth="1"/>
    <col min="2308" max="2308" width="13.7109375" style="59" bestFit="1" customWidth="1"/>
    <col min="2309" max="2313" width="9.140625" style="59"/>
    <col min="2314" max="2314" width="17.5703125" style="59" customWidth="1"/>
    <col min="2315" max="2315" width="12.28515625" style="59" bestFit="1" customWidth="1"/>
    <col min="2316" max="2316" width="11.140625" style="59" customWidth="1"/>
    <col min="2317" max="2562" width="9.140625" style="59"/>
    <col min="2563" max="2563" width="21.42578125" style="59" customWidth="1"/>
    <col min="2564" max="2564" width="13.7109375" style="59" bestFit="1" customWidth="1"/>
    <col min="2565" max="2569" width="9.140625" style="59"/>
    <col min="2570" max="2570" width="17.5703125" style="59" customWidth="1"/>
    <col min="2571" max="2571" width="12.28515625" style="59" bestFit="1" customWidth="1"/>
    <col min="2572" max="2572" width="11.140625" style="59" customWidth="1"/>
    <col min="2573" max="2818" width="9.140625" style="59"/>
    <col min="2819" max="2819" width="21.42578125" style="59" customWidth="1"/>
    <col min="2820" max="2820" width="13.7109375" style="59" bestFit="1" customWidth="1"/>
    <col min="2821" max="2825" width="9.140625" style="59"/>
    <col min="2826" max="2826" width="17.5703125" style="59" customWidth="1"/>
    <col min="2827" max="2827" width="12.28515625" style="59" bestFit="1" customWidth="1"/>
    <col min="2828" max="2828" width="11.140625" style="59" customWidth="1"/>
    <col min="2829" max="3074" width="9.140625" style="59"/>
    <col min="3075" max="3075" width="21.42578125" style="59" customWidth="1"/>
    <col min="3076" max="3076" width="13.7109375" style="59" bestFit="1" customWidth="1"/>
    <col min="3077" max="3081" width="9.140625" style="59"/>
    <col min="3082" max="3082" width="17.5703125" style="59" customWidth="1"/>
    <col min="3083" max="3083" width="12.28515625" style="59" bestFit="1" customWidth="1"/>
    <col min="3084" max="3084" width="11.140625" style="59" customWidth="1"/>
    <col min="3085" max="3330" width="9.140625" style="59"/>
    <col min="3331" max="3331" width="21.42578125" style="59" customWidth="1"/>
    <col min="3332" max="3332" width="13.7109375" style="59" bestFit="1" customWidth="1"/>
    <col min="3333" max="3337" width="9.140625" style="59"/>
    <col min="3338" max="3338" width="17.5703125" style="59" customWidth="1"/>
    <col min="3339" max="3339" width="12.28515625" style="59" bestFit="1" customWidth="1"/>
    <col min="3340" max="3340" width="11.140625" style="59" customWidth="1"/>
    <col min="3341" max="3586" width="9.140625" style="59"/>
    <col min="3587" max="3587" width="21.42578125" style="59" customWidth="1"/>
    <col min="3588" max="3588" width="13.7109375" style="59" bestFit="1" customWidth="1"/>
    <col min="3589" max="3593" width="9.140625" style="59"/>
    <col min="3594" max="3594" width="17.5703125" style="59" customWidth="1"/>
    <col min="3595" max="3595" width="12.28515625" style="59" bestFit="1" customWidth="1"/>
    <col min="3596" max="3596" width="11.140625" style="59" customWidth="1"/>
    <col min="3597" max="3842" width="9.140625" style="59"/>
    <col min="3843" max="3843" width="21.42578125" style="59" customWidth="1"/>
    <col min="3844" max="3844" width="13.7109375" style="59" bestFit="1" customWidth="1"/>
    <col min="3845" max="3849" width="9.140625" style="59"/>
    <col min="3850" max="3850" width="17.5703125" style="59" customWidth="1"/>
    <col min="3851" max="3851" width="12.28515625" style="59" bestFit="1" customWidth="1"/>
    <col min="3852" max="3852" width="11.140625" style="59" customWidth="1"/>
    <col min="3853" max="4098" width="9.140625" style="59"/>
    <col min="4099" max="4099" width="21.42578125" style="59" customWidth="1"/>
    <col min="4100" max="4100" width="13.7109375" style="59" bestFit="1" customWidth="1"/>
    <col min="4101" max="4105" width="9.140625" style="59"/>
    <col min="4106" max="4106" width="17.5703125" style="59" customWidth="1"/>
    <col min="4107" max="4107" width="12.28515625" style="59" bestFit="1" customWidth="1"/>
    <col min="4108" max="4108" width="11.140625" style="59" customWidth="1"/>
    <col min="4109" max="4354" width="9.140625" style="59"/>
    <col min="4355" max="4355" width="21.42578125" style="59" customWidth="1"/>
    <col min="4356" max="4356" width="13.7109375" style="59" bestFit="1" customWidth="1"/>
    <col min="4357" max="4361" width="9.140625" style="59"/>
    <col min="4362" max="4362" width="17.5703125" style="59" customWidth="1"/>
    <col min="4363" max="4363" width="12.28515625" style="59" bestFit="1" customWidth="1"/>
    <col min="4364" max="4364" width="11.140625" style="59" customWidth="1"/>
    <col min="4365" max="4610" width="9.140625" style="59"/>
    <col min="4611" max="4611" width="21.42578125" style="59" customWidth="1"/>
    <col min="4612" max="4612" width="13.7109375" style="59" bestFit="1" customWidth="1"/>
    <col min="4613" max="4617" width="9.140625" style="59"/>
    <col min="4618" max="4618" width="17.5703125" style="59" customWidth="1"/>
    <col min="4619" max="4619" width="12.28515625" style="59" bestFit="1" customWidth="1"/>
    <col min="4620" max="4620" width="11.140625" style="59" customWidth="1"/>
    <col min="4621" max="4866" width="9.140625" style="59"/>
    <col min="4867" max="4867" width="21.42578125" style="59" customWidth="1"/>
    <col min="4868" max="4868" width="13.7109375" style="59" bestFit="1" customWidth="1"/>
    <col min="4869" max="4873" width="9.140625" style="59"/>
    <col min="4874" max="4874" width="17.5703125" style="59" customWidth="1"/>
    <col min="4875" max="4875" width="12.28515625" style="59" bestFit="1" customWidth="1"/>
    <col min="4876" max="4876" width="11.140625" style="59" customWidth="1"/>
    <col min="4877" max="5122" width="9.140625" style="59"/>
    <col min="5123" max="5123" width="21.42578125" style="59" customWidth="1"/>
    <col min="5124" max="5124" width="13.7109375" style="59" bestFit="1" customWidth="1"/>
    <col min="5125" max="5129" width="9.140625" style="59"/>
    <col min="5130" max="5130" width="17.5703125" style="59" customWidth="1"/>
    <col min="5131" max="5131" width="12.28515625" style="59" bestFit="1" customWidth="1"/>
    <col min="5132" max="5132" width="11.140625" style="59" customWidth="1"/>
    <col min="5133" max="5378" width="9.140625" style="59"/>
    <col min="5379" max="5379" width="21.42578125" style="59" customWidth="1"/>
    <col min="5380" max="5380" width="13.7109375" style="59" bestFit="1" customWidth="1"/>
    <col min="5381" max="5385" width="9.140625" style="59"/>
    <col min="5386" max="5386" width="17.5703125" style="59" customWidth="1"/>
    <col min="5387" max="5387" width="12.28515625" style="59" bestFit="1" customWidth="1"/>
    <col min="5388" max="5388" width="11.140625" style="59" customWidth="1"/>
    <col min="5389" max="5634" width="9.140625" style="59"/>
    <col min="5635" max="5635" width="21.42578125" style="59" customWidth="1"/>
    <col min="5636" max="5636" width="13.7109375" style="59" bestFit="1" customWidth="1"/>
    <col min="5637" max="5641" width="9.140625" style="59"/>
    <col min="5642" max="5642" width="17.5703125" style="59" customWidth="1"/>
    <col min="5643" max="5643" width="12.28515625" style="59" bestFit="1" customWidth="1"/>
    <col min="5644" max="5644" width="11.140625" style="59" customWidth="1"/>
    <col min="5645" max="5890" width="9.140625" style="59"/>
    <col min="5891" max="5891" width="21.42578125" style="59" customWidth="1"/>
    <col min="5892" max="5892" width="13.7109375" style="59" bestFit="1" customWidth="1"/>
    <col min="5893" max="5897" width="9.140625" style="59"/>
    <col min="5898" max="5898" width="17.5703125" style="59" customWidth="1"/>
    <col min="5899" max="5899" width="12.28515625" style="59" bestFit="1" customWidth="1"/>
    <col min="5900" max="5900" width="11.140625" style="59" customWidth="1"/>
    <col min="5901" max="6146" width="9.140625" style="59"/>
    <col min="6147" max="6147" width="21.42578125" style="59" customWidth="1"/>
    <col min="6148" max="6148" width="13.7109375" style="59" bestFit="1" customWidth="1"/>
    <col min="6149" max="6153" width="9.140625" style="59"/>
    <col min="6154" max="6154" width="17.5703125" style="59" customWidth="1"/>
    <col min="6155" max="6155" width="12.28515625" style="59" bestFit="1" customWidth="1"/>
    <col min="6156" max="6156" width="11.140625" style="59" customWidth="1"/>
    <col min="6157" max="6402" width="9.140625" style="59"/>
    <col min="6403" max="6403" width="21.42578125" style="59" customWidth="1"/>
    <col min="6404" max="6404" width="13.7109375" style="59" bestFit="1" customWidth="1"/>
    <col min="6405" max="6409" width="9.140625" style="59"/>
    <col min="6410" max="6410" width="17.5703125" style="59" customWidth="1"/>
    <col min="6411" max="6411" width="12.28515625" style="59" bestFit="1" customWidth="1"/>
    <col min="6412" max="6412" width="11.140625" style="59" customWidth="1"/>
    <col min="6413" max="6658" width="9.140625" style="59"/>
    <col min="6659" max="6659" width="21.42578125" style="59" customWidth="1"/>
    <col min="6660" max="6660" width="13.7109375" style="59" bestFit="1" customWidth="1"/>
    <col min="6661" max="6665" width="9.140625" style="59"/>
    <col min="6666" max="6666" width="17.5703125" style="59" customWidth="1"/>
    <col min="6667" max="6667" width="12.28515625" style="59" bestFit="1" customWidth="1"/>
    <col min="6668" max="6668" width="11.140625" style="59" customWidth="1"/>
    <col min="6669" max="6914" width="9.140625" style="59"/>
    <col min="6915" max="6915" width="21.42578125" style="59" customWidth="1"/>
    <col min="6916" max="6916" width="13.7109375" style="59" bestFit="1" customWidth="1"/>
    <col min="6917" max="6921" width="9.140625" style="59"/>
    <col min="6922" max="6922" width="17.5703125" style="59" customWidth="1"/>
    <col min="6923" max="6923" width="12.28515625" style="59" bestFit="1" customWidth="1"/>
    <col min="6924" max="6924" width="11.140625" style="59" customWidth="1"/>
    <col min="6925" max="7170" width="9.140625" style="59"/>
    <col min="7171" max="7171" width="21.42578125" style="59" customWidth="1"/>
    <col min="7172" max="7172" width="13.7109375" style="59" bestFit="1" customWidth="1"/>
    <col min="7173" max="7177" width="9.140625" style="59"/>
    <col min="7178" max="7178" width="17.5703125" style="59" customWidth="1"/>
    <col min="7179" max="7179" width="12.28515625" style="59" bestFit="1" customWidth="1"/>
    <col min="7180" max="7180" width="11.140625" style="59" customWidth="1"/>
    <col min="7181" max="7426" width="9.140625" style="59"/>
    <col min="7427" max="7427" width="21.42578125" style="59" customWidth="1"/>
    <col min="7428" max="7428" width="13.7109375" style="59" bestFit="1" customWidth="1"/>
    <col min="7429" max="7433" width="9.140625" style="59"/>
    <col min="7434" max="7434" width="17.5703125" style="59" customWidth="1"/>
    <col min="7435" max="7435" width="12.28515625" style="59" bestFit="1" customWidth="1"/>
    <col min="7436" max="7436" width="11.140625" style="59" customWidth="1"/>
    <col min="7437" max="7682" width="9.140625" style="59"/>
    <col min="7683" max="7683" width="21.42578125" style="59" customWidth="1"/>
    <col min="7684" max="7684" width="13.7109375" style="59" bestFit="1" customWidth="1"/>
    <col min="7685" max="7689" width="9.140625" style="59"/>
    <col min="7690" max="7690" width="17.5703125" style="59" customWidth="1"/>
    <col min="7691" max="7691" width="12.28515625" style="59" bestFit="1" customWidth="1"/>
    <col min="7692" max="7692" width="11.140625" style="59" customWidth="1"/>
    <col min="7693" max="7938" width="9.140625" style="59"/>
    <col min="7939" max="7939" width="21.42578125" style="59" customWidth="1"/>
    <col min="7940" max="7940" width="13.7109375" style="59" bestFit="1" customWidth="1"/>
    <col min="7941" max="7945" width="9.140625" style="59"/>
    <col min="7946" max="7946" width="17.5703125" style="59" customWidth="1"/>
    <col min="7947" max="7947" width="12.28515625" style="59" bestFit="1" customWidth="1"/>
    <col min="7948" max="7948" width="11.140625" style="59" customWidth="1"/>
    <col min="7949" max="8194" width="9.140625" style="59"/>
    <col min="8195" max="8195" width="21.42578125" style="59" customWidth="1"/>
    <col min="8196" max="8196" width="13.7109375" style="59" bestFit="1" customWidth="1"/>
    <col min="8197" max="8201" width="9.140625" style="59"/>
    <col min="8202" max="8202" width="17.5703125" style="59" customWidth="1"/>
    <col min="8203" max="8203" width="12.28515625" style="59" bestFit="1" customWidth="1"/>
    <col min="8204" max="8204" width="11.140625" style="59" customWidth="1"/>
    <col min="8205" max="8450" width="9.140625" style="59"/>
    <col min="8451" max="8451" width="21.42578125" style="59" customWidth="1"/>
    <col min="8452" max="8452" width="13.7109375" style="59" bestFit="1" customWidth="1"/>
    <col min="8453" max="8457" width="9.140625" style="59"/>
    <col min="8458" max="8458" width="17.5703125" style="59" customWidth="1"/>
    <col min="8459" max="8459" width="12.28515625" style="59" bestFit="1" customWidth="1"/>
    <col min="8460" max="8460" width="11.140625" style="59" customWidth="1"/>
    <col min="8461" max="8706" width="9.140625" style="59"/>
    <col min="8707" max="8707" width="21.42578125" style="59" customWidth="1"/>
    <col min="8708" max="8708" width="13.7109375" style="59" bestFit="1" customWidth="1"/>
    <col min="8709" max="8713" width="9.140625" style="59"/>
    <col min="8714" max="8714" width="17.5703125" style="59" customWidth="1"/>
    <col min="8715" max="8715" width="12.28515625" style="59" bestFit="1" customWidth="1"/>
    <col min="8716" max="8716" width="11.140625" style="59" customWidth="1"/>
    <col min="8717" max="8962" width="9.140625" style="59"/>
    <col min="8963" max="8963" width="21.42578125" style="59" customWidth="1"/>
    <col min="8964" max="8964" width="13.7109375" style="59" bestFit="1" customWidth="1"/>
    <col min="8965" max="8969" width="9.140625" style="59"/>
    <col min="8970" max="8970" width="17.5703125" style="59" customWidth="1"/>
    <col min="8971" max="8971" width="12.28515625" style="59" bestFit="1" customWidth="1"/>
    <col min="8972" max="8972" width="11.140625" style="59" customWidth="1"/>
    <col min="8973" max="9218" width="9.140625" style="59"/>
    <col min="9219" max="9219" width="21.42578125" style="59" customWidth="1"/>
    <col min="9220" max="9220" width="13.7109375" style="59" bestFit="1" customWidth="1"/>
    <col min="9221" max="9225" width="9.140625" style="59"/>
    <col min="9226" max="9226" width="17.5703125" style="59" customWidth="1"/>
    <col min="9227" max="9227" width="12.28515625" style="59" bestFit="1" customWidth="1"/>
    <col min="9228" max="9228" width="11.140625" style="59" customWidth="1"/>
    <col min="9229" max="9474" width="9.140625" style="59"/>
    <col min="9475" max="9475" width="21.42578125" style="59" customWidth="1"/>
    <col min="9476" max="9476" width="13.7109375" style="59" bestFit="1" customWidth="1"/>
    <col min="9477" max="9481" width="9.140625" style="59"/>
    <col min="9482" max="9482" width="17.5703125" style="59" customWidth="1"/>
    <col min="9483" max="9483" width="12.28515625" style="59" bestFit="1" customWidth="1"/>
    <col min="9484" max="9484" width="11.140625" style="59" customWidth="1"/>
    <col min="9485" max="9730" width="9.140625" style="59"/>
    <col min="9731" max="9731" width="21.42578125" style="59" customWidth="1"/>
    <col min="9732" max="9732" width="13.7109375" style="59" bestFit="1" customWidth="1"/>
    <col min="9733" max="9737" width="9.140625" style="59"/>
    <col min="9738" max="9738" width="17.5703125" style="59" customWidth="1"/>
    <col min="9739" max="9739" width="12.28515625" style="59" bestFit="1" customWidth="1"/>
    <col min="9740" max="9740" width="11.140625" style="59" customWidth="1"/>
    <col min="9741" max="9986" width="9.140625" style="59"/>
    <col min="9987" max="9987" width="21.42578125" style="59" customWidth="1"/>
    <col min="9988" max="9988" width="13.7109375" style="59" bestFit="1" customWidth="1"/>
    <col min="9989" max="9993" width="9.140625" style="59"/>
    <col min="9994" max="9994" width="17.5703125" style="59" customWidth="1"/>
    <col min="9995" max="9995" width="12.28515625" style="59" bestFit="1" customWidth="1"/>
    <col min="9996" max="9996" width="11.140625" style="59" customWidth="1"/>
    <col min="9997" max="10242" width="9.140625" style="59"/>
    <col min="10243" max="10243" width="21.42578125" style="59" customWidth="1"/>
    <col min="10244" max="10244" width="13.7109375" style="59" bestFit="1" customWidth="1"/>
    <col min="10245" max="10249" width="9.140625" style="59"/>
    <col min="10250" max="10250" width="17.5703125" style="59" customWidth="1"/>
    <col min="10251" max="10251" width="12.28515625" style="59" bestFit="1" customWidth="1"/>
    <col min="10252" max="10252" width="11.140625" style="59" customWidth="1"/>
    <col min="10253" max="10498" width="9.140625" style="59"/>
    <col min="10499" max="10499" width="21.42578125" style="59" customWidth="1"/>
    <col min="10500" max="10500" width="13.7109375" style="59" bestFit="1" customWidth="1"/>
    <col min="10501" max="10505" width="9.140625" style="59"/>
    <col min="10506" max="10506" width="17.5703125" style="59" customWidth="1"/>
    <col min="10507" max="10507" width="12.28515625" style="59" bestFit="1" customWidth="1"/>
    <col min="10508" max="10508" width="11.140625" style="59" customWidth="1"/>
    <col min="10509" max="10754" width="9.140625" style="59"/>
    <col min="10755" max="10755" width="21.42578125" style="59" customWidth="1"/>
    <col min="10756" max="10756" width="13.7109375" style="59" bestFit="1" customWidth="1"/>
    <col min="10757" max="10761" width="9.140625" style="59"/>
    <col min="10762" max="10762" width="17.5703125" style="59" customWidth="1"/>
    <col min="10763" max="10763" width="12.28515625" style="59" bestFit="1" customWidth="1"/>
    <col min="10764" max="10764" width="11.140625" style="59" customWidth="1"/>
    <col min="10765" max="11010" width="9.140625" style="59"/>
    <col min="11011" max="11011" width="21.42578125" style="59" customWidth="1"/>
    <col min="11012" max="11012" width="13.7109375" style="59" bestFit="1" customWidth="1"/>
    <col min="11013" max="11017" width="9.140625" style="59"/>
    <col min="11018" max="11018" width="17.5703125" style="59" customWidth="1"/>
    <col min="11019" max="11019" width="12.28515625" style="59" bestFit="1" customWidth="1"/>
    <col min="11020" max="11020" width="11.140625" style="59" customWidth="1"/>
    <col min="11021" max="11266" width="9.140625" style="59"/>
    <col min="11267" max="11267" width="21.42578125" style="59" customWidth="1"/>
    <col min="11268" max="11268" width="13.7109375" style="59" bestFit="1" customWidth="1"/>
    <col min="11269" max="11273" width="9.140625" style="59"/>
    <col min="11274" max="11274" width="17.5703125" style="59" customWidth="1"/>
    <col min="11275" max="11275" width="12.28515625" style="59" bestFit="1" customWidth="1"/>
    <col min="11276" max="11276" width="11.140625" style="59" customWidth="1"/>
    <col min="11277" max="11522" width="9.140625" style="59"/>
    <col min="11523" max="11523" width="21.42578125" style="59" customWidth="1"/>
    <col min="11524" max="11524" width="13.7109375" style="59" bestFit="1" customWidth="1"/>
    <col min="11525" max="11529" width="9.140625" style="59"/>
    <col min="11530" max="11530" width="17.5703125" style="59" customWidth="1"/>
    <col min="11531" max="11531" width="12.28515625" style="59" bestFit="1" customWidth="1"/>
    <col min="11532" max="11532" width="11.140625" style="59" customWidth="1"/>
    <col min="11533" max="11778" width="9.140625" style="59"/>
    <col min="11779" max="11779" width="21.42578125" style="59" customWidth="1"/>
    <col min="11780" max="11780" width="13.7109375" style="59" bestFit="1" customWidth="1"/>
    <col min="11781" max="11785" width="9.140625" style="59"/>
    <col min="11786" max="11786" width="17.5703125" style="59" customWidth="1"/>
    <col min="11787" max="11787" width="12.28515625" style="59" bestFit="1" customWidth="1"/>
    <col min="11788" max="11788" width="11.140625" style="59" customWidth="1"/>
    <col min="11789" max="12034" width="9.140625" style="59"/>
    <col min="12035" max="12035" width="21.42578125" style="59" customWidth="1"/>
    <col min="12036" max="12036" width="13.7109375" style="59" bestFit="1" customWidth="1"/>
    <col min="12037" max="12041" width="9.140625" style="59"/>
    <col min="12042" max="12042" width="17.5703125" style="59" customWidth="1"/>
    <col min="12043" max="12043" width="12.28515625" style="59" bestFit="1" customWidth="1"/>
    <col min="12044" max="12044" width="11.140625" style="59" customWidth="1"/>
    <col min="12045" max="12290" width="9.140625" style="59"/>
    <col min="12291" max="12291" width="21.42578125" style="59" customWidth="1"/>
    <col min="12292" max="12292" width="13.7109375" style="59" bestFit="1" customWidth="1"/>
    <col min="12293" max="12297" width="9.140625" style="59"/>
    <col min="12298" max="12298" width="17.5703125" style="59" customWidth="1"/>
    <col min="12299" max="12299" width="12.28515625" style="59" bestFit="1" customWidth="1"/>
    <col min="12300" max="12300" width="11.140625" style="59" customWidth="1"/>
    <col min="12301" max="12546" width="9.140625" style="59"/>
    <col min="12547" max="12547" width="21.42578125" style="59" customWidth="1"/>
    <col min="12548" max="12548" width="13.7109375" style="59" bestFit="1" customWidth="1"/>
    <col min="12549" max="12553" width="9.140625" style="59"/>
    <col min="12554" max="12554" width="17.5703125" style="59" customWidth="1"/>
    <col min="12555" max="12555" width="12.28515625" style="59" bestFit="1" customWidth="1"/>
    <col min="12556" max="12556" width="11.140625" style="59" customWidth="1"/>
    <col min="12557" max="12802" width="9.140625" style="59"/>
    <col min="12803" max="12803" width="21.42578125" style="59" customWidth="1"/>
    <col min="12804" max="12804" width="13.7109375" style="59" bestFit="1" customWidth="1"/>
    <col min="12805" max="12809" width="9.140625" style="59"/>
    <col min="12810" max="12810" width="17.5703125" style="59" customWidth="1"/>
    <col min="12811" max="12811" width="12.28515625" style="59" bestFit="1" customWidth="1"/>
    <col min="12812" max="12812" width="11.140625" style="59" customWidth="1"/>
    <col min="12813" max="13058" width="9.140625" style="59"/>
    <col min="13059" max="13059" width="21.42578125" style="59" customWidth="1"/>
    <col min="13060" max="13060" width="13.7109375" style="59" bestFit="1" customWidth="1"/>
    <col min="13061" max="13065" width="9.140625" style="59"/>
    <col min="13066" max="13066" width="17.5703125" style="59" customWidth="1"/>
    <col min="13067" max="13067" width="12.28515625" style="59" bestFit="1" customWidth="1"/>
    <col min="13068" max="13068" width="11.140625" style="59" customWidth="1"/>
    <col min="13069" max="13314" width="9.140625" style="59"/>
    <col min="13315" max="13315" width="21.42578125" style="59" customWidth="1"/>
    <col min="13316" max="13316" width="13.7109375" style="59" bestFit="1" customWidth="1"/>
    <col min="13317" max="13321" width="9.140625" style="59"/>
    <col min="13322" max="13322" width="17.5703125" style="59" customWidth="1"/>
    <col min="13323" max="13323" width="12.28515625" style="59" bestFit="1" customWidth="1"/>
    <col min="13324" max="13324" width="11.140625" style="59" customWidth="1"/>
    <col min="13325" max="13570" width="9.140625" style="59"/>
    <col min="13571" max="13571" width="21.42578125" style="59" customWidth="1"/>
    <col min="13572" max="13572" width="13.7109375" style="59" bestFit="1" customWidth="1"/>
    <col min="13573" max="13577" width="9.140625" style="59"/>
    <col min="13578" max="13578" width="17.5703125" style="59" customWidth="1"/>
    <col min="13579" max="13579" width="12.28515625" style="59" bestFit="1" customWidth="1"/>
    <col min="13580" max="13580" width="11.140625" style="59" customWidth="1"/>
    <col min="13581" max="13826" width="9.140625" style="59"/>
    <col min="13827" max="13827" width="21.42578125" style="59" customWidth="1"/>
    <col min="13828" max="13828" width="13.7109375" style="59" bestFit="1" customWidth="1"/>
    <col min="13829" max="13833" width="9.140625" style="59"/>
    <col min="13834" max="13834" width="17.5703125" style="59" customWidth="1"/>
    <col min="13835" max="13835" width="12.28515625" style="59" bestFit="1" customWidth="1"/>
    <col min="13836" max="13836" width="11.140625" style="59" customWidth="1"/>
    <col min="13837" max="14082" width="9.140625" style="59"/>
    <col min="14083" max="14083" width="21.42578125" style="59" customWidth="1"/>
    <col min="14084" max="14084" width="13.7109375" style="59" bestFit="1" customWidth="1"/>
    <col min="14085" max="14089" width="9.140625" style="59"/>
    <col min="14090" max="14090" width="17.5703125" style="59" customWidth="1"/>
    <col min="14091" max="14091" width="12.28515625" style="59" bestFit="1" customWidth="1"/>
    <col min="14092" max="14092" width="11.140625" style="59" customWidth="1"/>
    <col min="14093" max="14338" width="9.140625" style="59"/>
    <col min="14339" max="14339" width="21.42578125" style="59" customWidth="1"/>
    <col min="14340" max="14340" width="13.7109375" style="59" bestFit="1" customWidth="1"/>
    <col min="14341" max="14345" width="9.140625" style="59"/>
    <col min="14346" max="14346" width="17.5703125" style="59" customWidth="1"/>
    <col min="14347" max="14347" width="12.28515625" style="59" bestFit="1" customWidth="1"/>
    <col min="14348" max="14348" width="11.140625" style="59" customWidth="1"/>
    <col min="14349" max="14594" width="9.140625" style="59"/>
    <col min="14595" max="14595" width="21.42578125" style="59" customWidth="1"/>
    <col min="14596" max="14596" width="13.7109375" style="59" bestFit="1" customWidth="1"/>
    <col min="14597" max="14601" width="9.140625" style="59"/>
    <col min="14602" max="14602" width="17.5703125" style="59" customWidth="1"/>
    <col min="14603" max="14603" width="12.28515625" style="59" bestFit="1" customWidth="1"/>
    <col min="14604" max="14604" width="11.140625" style="59" customWidth="1"/>
    <col min="14605" max="14850" width="9.140625" style="59"/>
    <col min="14851" max="14851" width="21.42578125" style="59" customWidth="1"/>
    <col min="14852" max="14852" width="13.7109375" style="59" bestFit="1" customWidth="1"/>
    <col min="14853" max="14857" width="9.140625" style="59"/>
    <col min="14858" max="14858" width="17.5703125" style="59" customWidth="1"/>
    <col min="14859" max="14859" width="12.28515625" style="59" bestFit="1" customWidth="1"/>
    <col min="14860" max="14860" width="11.140625" style="59" customWidth="1"/>
    <col min="14861" max="15106" width="9.140625" style="59"/>
    <col min="15107" max="15107" width="21.42578125" style="59" customWidth="1"/>
    <col min="15108" max="15108" width="13.7109375" style="59" bestFit="1" customWidth="1"/>
    <col min="15109" max="15113" width="9.140625" style="59"/>
    <col min="15114" max="15114" width="17.5703125" style="59" customWidth="1"/>
    <col min="15115" max="15115" width="12.28515625" style="59" bestFit="1" customWidth="1"/>
    <col min="15116" max="15116" width="11.140625" style="59" customWidth="1"/>
    <col min="15117" max="15362" width="9.140625" style="59"/>
    <col min="15363" max="15363" width="21.42578125" style="59" customWidth="1"/>
    <col min="15364" max="15364" width="13.7109375" style="59" bestFit="1" customWidth="1"/>
    <col min="15365" max="15369" width="9.140625" style="59"/>
    <col min="15370" max="15370" width="17.5703125" style="59" customWidth="1"/>
    <col min="15371" max="15371" width="12.28515625" style="59" bestFit="1" customWidth="1"/>
    <col min="15372" max="15372" width="11.140625" style="59" customWidth="1"/>
    <col min="15373" max="15618" width="9.140625" style="59"/>
    <col min="15619" max="15619" width="21.42578125" style="59" customWidth="1"/>
    <col min="15620" max="15620" width="13.7109375" style="59" bestFit="1" customWidth="1"/>
    <col min="15621" max="15625" width="9.140625" style="59"/>
    <col min="15626" max="15626" width="17.5703125" style="59" customWidth="1"/>
    <col min="15627" max="15627" width="12.28515625" style="59" bestFit="1" customWidth="1"/>
    <col min="15628" max="15628" width="11.140625" style="59" customWidth="1"/>
    <col min="15629" max="15874" width="9.140625" style="59"/>
    <col min="15875" max="15875" width="21.42578125" style="59" customWidth="1"/>
    <col min="15876" max="15876" width="13.7109375" style="59" bestFit="1" customWidth="1"/>
    <col min="15877" max="15881" width="9.140625" style="59"/>
    <col min="15882" max="15882" width="17.5703125" style="59" customWidth="1"/>
    <col min="15883" max="15883" width="12.28515625" style="59" bestFit="1" customWidth="1"/>
    <col min="15884" max="15884" width="11.140625" style="59" customWidth="1"/>
    <col min="15885" max="16130" width="9.140625" style="59"/>
    <col min="16131" max="16131" width="21.42578125" style="59" customWidth="1"/>
    <col min="16132" max="16132" width="13.7109375" style="59" bestFit="1" customWidth="1"/>
    <col min="16133" max="16137" width="9.140625" style="59"/>
    <col min="16138" max="16138" width="17.5703125" style="59" customWidth="1"/>
    <col min="16139" max="16139" width="12.28515625" style="59" bestFit="1" customWidth="1"/>
    <col min="16140" max="16140" width="11.140625" style="59" customWidth="1"/>
    <col min="16141" max="16384" width="9.140625" style="59"/>
  </cols>
  <sheetData>
    <row r="1" spans="1:12" ht="15" customHeight="1">
      <c r="A1" s="263" t="s">
        <v>145</v>
      </c>
      <c r="B1" s="263"/>
      <c r="C1" s="263"/>
      <c r="D1" s="263"/>
      <c r="E1" s="263"/>
      <c r="F1" s="263"/>
      <c r="G1" s="263"/>
      <c r="H1" s="263"/>
      <c r="I1" s="263"/>
      <c r="J1" s="245"/>
      <c r="K1" s="244">
        <v>1000</v>
      </c>
    </row>
    <row r="2" spans="1:12">
      <c r="I2" s="98" t="s">
        <v>146</v>
      </c>
      <c r="J2" s="98"/>
    </row>
    <row r="3" spans="1:12">
      <c r="A3" s="56" t="s">
        <v>44</v>
      </c>
      <c r="B3" s="57"/>
      <c r="C3" s="57"/>
      <c r="D3" s="57"/>
      <c r="E3" s="57"/>
      <c r="F3" s="57" t="s">
        <v>45</v>
      </c>
      <c r="G3" s="57" t="s">
        <v>46</v>
      </c>
      <c r="H3" s="57" t="s">
        <v>47</v>
      </c>
      <c r="I3" s="58"/>
      <c r="J3" s="249" t="s">
        <v>217</v>
      </c>
    </row>
    <row r="4" spans="1:12">
      <c r="A4" s="60">
        <v>1</v>
      </c>
      <c r="B4" s="60" t="s">
        <v>48</v>
      </c>
      <c r="C4" s="61">
        <v>17</v>
      </c>
      <c r="D4" s="61" t="s">
        <v>49</v>
      </c>
      <c r="E4" s="62" t="s">
        <v>26</v>
      </c>
      <c r="F4" s="63">
        <v>22.4</v>
      </c>
      <c r="G4" s="63">
        <v>6.25</v>
      </c>
      <c r="H4" s="63">
        <v>141.69999999999999</v>
      </c>
      <c r="I4" s="64">
        <f>7500000*141.7</f>
        <v>1062749999.9999999</v>
      </c>
      <c r="J4" s="250">
        <f>I4/$K$1</f>
        <v>1062749.9999999998</v>
      </c>
    </row>
    <row r="5" spans="1:12">
      <c r="A5" s="65">
        <v>3</v>
      </c>
      <c r="B5" s="65" t="s">
        <v>50</v>
      </c>
      <c r="C5" s="65" t="s">
        <v>51</v>
      </c>
      <c r="D5" s="65" t="s">
        <v>52</v>
      </c>
      <c r="E5" s="65" t="s">
        <v>26</v>
      </c>
      <c r="F5" s="65">
        <v>19</v>
      </c>
      <c r="G5" s="65">
        <v>5</v>
      </c>
      <c r="H5" s="65">
        <f>F5*G5</f>
        <v>95</v>
      </c>
      <c r="I5" s="58">
        <f>21100000*H5</f>
        <v>2004500000</v>
      </c>
      <c r="J5" s="251">
        <f t="shared" ref="J5:J68" si="0">I5/$K$1</f>
        <v>2004500</v>
      </c>
    </row>
    <row r="6" spans="1:12">
      <c r="A6" s="65">
        <v>4</v>
      </c>
      <c r="B6" s="65" t="s">
        <v>50</v>
      </c>
      <c r="C6" s="65" t="s">
        <v>53</v>
      </c>
      <c r="D6" s="65" t="s">
        <v>52</v>
      </c>
      <c r="E6" s="65" t="s">
        <v>26</v>
      </c>
      <c r="F6" s="65">
        <v>19</v>
      </c>
      <c r="G6" s="65">
        <v>5</v>
      </c>
      <c r="H6" s="65">
        <v>95</v>
      </c>
      <c r="I6" s="58">
        <f>21100000*H6</f>
        <v>2004500000</v>
      </c>
      <c r="J6" s="251">
        <f t="shared" si="0"/>
        <v>2004500</v>
      </c>
    </row>
    <row r="7" spans="1:12">
      <c r="A7" s="65">
        <v>5</v>
      </c>
      <c r="B7" s="65" t="s">
        <v>48</v>
      </c>
      <c r="C7" s="65" t="s">
        <v>54</v>
      </c>
      <c r="D7" s="65" t="s">
        <v>55</v>
      </c>
      <c r="E7" s="65" t="s">
        <v>26</v>
      </c>
      <c r="F7" s="65">
        <v>70.215000000000003</v>
      </c>
      <c r="G7" s="65">
        <v>35.36</v>
      </c>
      <c r="H7" s="65">
        <v>2989.3</v>
      </c>
      <c r="I7" s="58">
        <f>15544400000*0.93</f>
        <v>14456292000</v>
      </c>
      <c r="J7" s="251">
        <f t="shared" si="0"/>
        <v>14456292</v>
      </c>
    </row>
    <row r="8" spans="1:12">
      <c r="A8" s="65">
        <v>6</v>
      </c>
      <c r="B8" s="65" t="s">
        <v>48</v>
      </c>
      <c r="C8" s="65" t="s">
        <v>56</v>
      </c>
      <c r="D8" s="65" t="s">
        <v>57</v>
      </c>
      <c r="E8" s="65" t="s">
        <v>26</v>
      </c>
      <c r="F8" s="65">
        <v>21</v>
      </c>
      <c r="G8" s="65">
        <v>9.4</v>
      </c>
      <c r="H8" s="65">
        <v>192.1</v>
      </c>
      <c r="I8" s="58">
        <f>2266800000*0.93</f>
        <v>2108124000</v>
      </c>
      <c r="J8" s="251">
        <f t="shared" si="0"/>
        <v>2108124</v>
      </c>
    </row>
    <row r="9" spans="1:12">
      <c r="A9" s="65">
        <v>8</v>
      </c>
      <c r="B9" s="65" t="s">
        <v>58</v>
      </c>
      <c r="C9" s="65" t="s">
        <v>59</v>
      </c>
      <c r="D9" s="65" t="s">
        <v>57</v>
      </c>
      <c r="E9" s="65" t="s">
        <v>26</v>
      </c>
      <c r="F9" s="65">
        <v>25.9</v>
      </c>
      <c r="G9" s="65">
        <v>5.7</v>
      </c>
      <c r="H9" s="65">
        <v>131.9</v>
      </c>
      <c r="I9" s="58">
        <f>1332200000*0.93</f>
        <v>1238946000</v>
      </c>
      <c r="J9" s="251">
        <f t="shared" si="0"/>
        <v>1238946</v>
      </c>
    </row>
    <row r="10" spans="1:12">
      <c r="A10" s="62">
        <v>18</v>
      </c>
      <c r="B10" s="62" t="s">
        <v>60</v>
      </c>
      <c r="C10" s="62" t="s">
        <v>61</v>
      </c>
      <c r="D10" s="62" t="s">
        <v>62</v>
      </c>
      <c r="E10" s="62" t="s">
        <v>26</v>
      </c>
      <c r="F10" s="62">
        <v>20</v>
      </c>
      <c r="G10" s="62">
        <v>8.8000000000000007</v>
      </c>
      <c r="H10" s="62">
        <v>165.5</v>
      </c>
      <c r="I10" s="66">
        <f>8000000*165.5</f>
        <v>1324000000</v>
      </c>
      <c r="J10" s="250">
        <f t="shared" si="0"/>
        <v>1324000</v>
      </c>
    </row>
    <row r="11" spans="1:12">
      <c r="A11" s="65">
        <v>19</v>
      </c>
      <c r="B11" s="65" t="s">
        <v>63</v>
      </c>
      <c r="C11" s="65">
        <v>13</v>
      </c>
      <c r="D11" s="65" t="s">
        <v>62</v>
      </c>
      <c r="E11" s="65" t="s">
        <v>64</v>
      </c>
      <c r="F11" s="65" t="s">
        <v>65</v>
      </c>
      <c r="G11" s="65">
        <v>5</v>
      </c>
      <c r="H11" s="65">
        <v>134</v>
      </c>
      <c r="I11" s="58">
        <f>991600000*0.93</f>
        <v>922188000</v>
      </c>
      <c r="J11" s="251">
        <f t="shared" si="0"/>
        <v>922188</v>
      </c>
    </row>
    <row r="12" spans="1:12">
      <c r="A12" s="62">
        <v>20</v>
      </c>
      <c r="B12" s="62" t="s">
        <v>63</v>
      </c>
      <c r="C12" s="62">
        <v>17</v>
      </c>
      <c r="D12" s="62" t="s">
        <v>62</v>
      </c>
      <c r="E12" s="62" t="s">
        <v>64</v>
      </c>
      <c r="F12" s="62" t="s">
        <v>66</v>
      </c>
      <c r="G12" s="62">
        <v>5</v>
      </c>
      <c r="H12" s="62">
        <v>131</v>
      </c>
      <c r="I12" s="66">
        <v>589500000</v>
      </c>
      <c r="J12" s="250">
        <f t="shared" si="0"/>
        <v>589500</v>
      </c>
      <c r="K12" s="67" t="s">
        <v>67</v>
      </c>
      <c r="L12" s="67"/>
    </row>
    <row r="13" spans="1:12">
      <c r="A13" s="65">
        <v>21</v>
      </c>
      <c r="B13" s="65" t="s">
        <v>63</v>
      </c>
      <c r="C13" s="65">
        <v>26</v>
      </c>
      <c r="D13" s="65" t="s">
        <v>62</v>
      </c>
      <c r="E13" s="65" t="s">
        <v>26</v>
      </c>
      <c r="F13" s="65" t="s">
        <v>68</v>
      </c>
      <c r="G13" s="65">
        <v>5</v>
      </c>
      <c r="H13" s="65">
        <v>157.4</v>
      </c>
      <c r="I13" s="58">
        <f>1117500000*0.93</f>
        <v>1039275000</v>
      </c>
      <c r="J13" s="251">
        <f t="shared" si="0"/>
        <v>1039275</v>
      </c>
    </row>
    <row r="14" spans="1:12">
      <c r="A14" s="65">
        <v>22</v>
      </c>
      <c r="B14" s="65" t="s">
        <v>63</v>
      </c>
      <c r="C14" s="65">
        <v>27</v>
      </c>
      <c r="D14" s="65" t="s">
        <v>62</v>
      </c>
      <c r="E14" s="65" t="s">
        <v>26</v>
      </c>
      <c r="F14" s="65" t="s">
        <v>69</v>
      </c>
      <c r="G14" s="65" t="s">
        <v>70</v>
      </c>
      <c r="H14" s="65">
        <v>253.7</v>
      </c>
      <c r="I14" s="58">
        <f>1725200000*0.93</f>
        <v>1604436000</v>
      </c>
      <c r="J14" s="251">
        <f t="shared" si="0"/>
        <v>1604436</v>
      </c>
    </row>
    <row r="15" spans="1:12">
      <c r="A15" s="68" t="s">
        <v>71</v>
      </c>
      <c r="B15" s="65"/>
      <c r="C15" s="65"/>
      <c r="D15" s="65"/>
      <c r="E15" s="65"/>
      <c r="F15" s="65"/>
      <c r="G15" s="65"/>
      <c r="H15" s="65"/>
      <c r="I15" s="58"/>
      <c r="J15" s="251">
        <f t="shared" si="0"/>
        <v>0</v>
      </c>
    </row>
    <row r="16" spans="1:12">
      <c r="A16" s="65">
        <v>5</v>
      </c>
      <c r="B16" s="65" t="s">
        <v>72</v>
      </c>
      <c r="C16" s="65" t="s">
        <v>73</v>
      </c>
      <c r="D16" s="65" t="s">
        <v>74</v>
      </c>
      <c r="E16" s="65" t="s">
        <v>26</v>
      </c>
      <c r="F16" s="65">
        <v>18.5</v>
      </c>
      <c r="G16" s="65" t="s">
        <v>75</v>
      </c>
      <c r="H16" s="65">
        <v>122.5</v>
      </c>
      <c r="I16" s="58">
        <f>656100000*0.93</f>
        <v>610173000</v>
      </c>
      <c r="J16" s="251">
        <f t="shared" si="0"/>
        <v>610173</v>
      </c>
    </row>
    <row r="17" spans="1:10">
      <c r="A17" s="65">
        <v>8</v>
      </c>
      <c r="B17" s="65" t="s">
        <v>76</v>
      </c>
      <c r="C17" s="65" t="s">
        <v>77</v>
      </c>
      <c r="D17" s="65" t="s">
        <v>78</v>
      </c>
      <c r="E17" s="65" t="s">
        <v>26</v>
      </c>
      <c r="F17" s="65">
        <v>24.5</v>
      </c>
      <c r="G17" s="65">
        <v>5</v>
      </c>
      <c r="H17" s="65">
        <v>122.5</v>
      </c>
      <c r="I17" s="58">
        <f t="shared" ref="I17:I24" si="1">1035000000*0.93</f>
        <v>962550000</v>
      </c>
      <c r="J17" s="251">
        <f t="shared" si="0"/>
        <v>962550</v>
      </c>
    </row>
    <row r="18" spans="1:10">
      <c r="A18" s="65">
        <v>9</v>
      </c>
      <c r="B18" s="65" t="s">
        <v>76</v>
      </c>
      <c r="C18" s="65" t="s">
        <v>79</v>
      </c>
      <c r="D18" s="65" t="s">
        <v>78</v>
      </c>
      <c r="E18" s="65" t="s">
        <v>26</v>
      </c>
      <c r="F18" s="65">
        <v>24.5</v>
      </c>
      <c r="G18" s="65">
        <v>5</v>
      </c>
      <c r="H18" s="65">
        <v>122.5</v>
      </c>
      <c r="I18" s="58">
        <f t="shared" si="1"/>
        <v>962550000</v>
      </c>
      <c r="J18" s="251">
        <f t="shared" si="0"/>
        <v>962550</v>
      </c>
    </row>
    <row r="19" spans="1:10">
      <c r="A19" s="65">
        <v>10</v>
      </c>
      <c r="B19" s="65" t="s">
        <v>76</v>
      </c>
      <c r="C19" s="65" t="s">
        <v>80</v>
      </c>
      <c r="D19" s="65" t="s">
        <v>78</v>
      </c>
      <c r="E19" s="65" t="s">
        <v>26</v>
      </c>
      <c r="F19" s="65">
        <v>24.5</v>
      </c>
      <c r="G19" s="65">
        <v>5</v>
      </c>
      <c r="H19" s="65">
        <v>122.5</v>
      </c>
      <c r="I19" s="58">
        <f t="shared" si="1"/>
        <v>962550000</v>
      </c>
      <c r="J19" s="251">
        <f t="shared" si="0"/>
        <v>962550</v>
      </c>
    </row>
    <row r="20" spans="1:10">
      <c r="A20" s="65">
        <v>11</v>
      </c>
      <c r="B20" s="65" t="s">
        <v>76</v>
      </c>
      <c r="C20" s="65" t="s">
        <v>81</v>
      </c>
      <c r="D20" s="65" t="s">
        <v>78</v>
      </c>
      <c r="E20" s="65" t="s">
        <v>26</v>
      </c>
      <c r="F20" s="65">
        <v>24.5</v>
      </c>
      <c r="G20" s="65">
        <v>5</v>
      </c>
      <c r="H20" s="65">
        <v>122.5</v>
      </c>
      <c r="I20" s="58">
        <f t="shared" si="1"/>
        <v>962550000</v>
      </c>
      <c r="J20" s="251">
        <f t="shared" si="0"/>
        <v>962550</v>
      </c>
    </row>
    <row r="21" spans="1:10">
      <c r="A21" s="65">
        <v>12</v>
      </c>
      <c r="B21" s="65" t="s">
        <v>76</v>
      </c>
      <c r="C21" s="65" t="s">
        <v>82</v>
      </c>
      <c r="D21" s="65" t="s">
        <v>78</v>
      </c>
      <c r="E21" s="65" t="s">
        <v>26</v>
      </c>
      <c r="F21" s="65">
        <v>24.5</v>
      </c>
      <c r="G21" s="65">
        <v>5</v>
      </c>
      <c r="H21" s="65">
        <v>122.5</v>
      </c>
      <c r="I21" s="58">
        <f t="shared" si="1"/>
        <v>962550000</v>
      </c>
      <c r="J21" s="251">
        <f t="shared" si="0"/>
        <v>962550</v>
      </c>
    </row>
    <row r="22" spans="1:10">
      <c r="A22" s="65">
        <v>13</v>
      </c>
      <c r="B22" s="65" t="s">
        <v>76</v>
      </c>
      <c r="C22" s="65" t="s">
        <v>83</v>
      </c>
      <c r="D22" s="65" t="s">
        <v>78</v>
      </c>
      <c r="E22" s="65" t="s">
        <v>26</v>
      </c>
      <c r="F22" s="65">
        <v>24.5</v>
      </c>
      <c r="G22" s="65">
        <v>5</v>
      </c>
      <c r="H22" s="65">
        <v>122.5</v>
      </c>
      <c r="I22" s="58">
        <f t="shared" si="1"/>
        <v>962550000</v>
      </c>
      <c r="J22" s="251">
        <f t="shared" si="0"/>
        <v>962550</v>
      </c>
    </row>
    <row r="23" spans="1:10">
      <c r="A23" s="65">
        <v>14</v>
      </c>
      <c r="B23" s="65" t="s">
        <v>76</v>
      </c>
      <c r="C23" s="65" t="s">
        <v>84</v>
      </c>
      <c r="D23" s="65" t="s">
        <v>78</v>
      </c>
      <c r="E23" s="65" t="s">
        <v>26</v>
      </c>
      <c r="F23" s="65">
        <v>24.5</v>
      </c>
      <c r="G23" s="65">
        <v>5</v>
      </c>
      <c r="H23" s="65">
        <v>122.5</v>
      </c>
      <c r="I23" s="58">
        <f t="shared" si="1"/>
        <v>962550000</v>
      </c>
      <c r="J23" s="251">
        <f t="shared" si="0"/>
        <v>962550</v>
      </c>
    </row>
    <row r="24" spans="1:10">
      <c r="A24" s="65">
        <v>15</v>
      </c>
      <c r="B24" s="65" t="s">
        <v>76</v>
      </c>
      <c r="C24" s="65" t="s">
        <v>85</v>
      </c>
      <c r="D24" s="65" t="s">
        <v>78</v>
      </c>
      <c r="E24" s="65" t="s">
        <v>26</v>
      </c>
      <c r="F24" s="65">
        <v>24.5</v>
      </c>
      <c r="G24" s="65">
        <v>5</v>
      </c>
      <c r="H24" s="65">
        <v>122.5</v>
      </c>
      <c r="I24" s="58">
        <f t="shared" si="1"/>
        <v>962550000</v>
      </c>
      <c r="J24" s="251">
        <f t="shared" si="0"/>
        <v>962550</v>
      </c>
    </row>
    <row r="25" spans="1:10">
      <c r="A25" s="68" t="s">
        <v>86</v>
      </c>
      <c r="B25" s="65"/>
      <c r="C25" s="65"/>
      <c r="D25" s="65"/>
      <c r="E25" s="65"/>
      <c r="F25" s="65"/>
      <c r="G25" s="65"/>
      <c r="H25" s="65"/>
      <c r="I25" s="58"/>
      <c r="J25" s="251">
        <f t="shared" si="0"/>
        <v>0</v>
      </c>
    </row>
    <row r="26" spans="1:10">
      <c r="A26" s="65"/>
      <c r="B26" s="68" t="s">
        <v>87</v>
      </c>
      <c r="C26" s="65" t="s">
        <v>88</v>
      </c>
      <c r="D26" s="65"/>
      <c r="E26" s="65"/>
      <c r="F26" s="65"/>
      <c r="G26" s="65"/>
      <c r="H26" s="65"/>
      <c r="I26" s="58"/>
      <c r="J26" s="251">
        <f t="shared" si="0"/>
        <v>0</v>
      </c>
    </row>
    <row r="27" spans="1:10">
      <c r="A27" s="65" t="s">
        <v>89</v>
      </c>
      <c r="B27" s="65" t="s">
        <v>90</v>
      </c>
      <c r="C27" s="65">
        <v>6</v>
      </c>
      <c r="D27" s="65">
        <v>20</v>
      </c>
      <c r="E27" s="65">
        <v>20.7</v>
      </c>
      <c r="F27" s="65">
        <v>243.9</v>
      </c>
      <c r="G27" s="65"/>
      <c r="H27" s="65" t="s">
        <v>26</v>
      </c>
      <c r="I27" s="58">
        <f>1864400000*0.93</f>
        <v>1733892000</v>
      </c>
      <c r="J27" s="251">
        <f t="shared" si="0"/>
        <v>1733892</v>
      </c>
    </row>
    <row r="28" spans="1:10">
      <c r="A28" s="65"/>
      <c r="B28" s="68" t="s">
        <v>91</v>
      </c>
      <c r="C28" s="65"/>
      <c r="D28" s="65"/>
      <c r="E28" s="65"/>
      <c r="F28" s="65"/>
      <c r="G28" s="65"/>
      <c r="H28" s="65"/>
      <c r="I28" s="58"/>
      <c r="J28" s="251">
        <f t="shared" si="0"/>
        <v>0</v>
      </c>
    </row>
    <row r="29" spans="1:10">
      <c r="A29" s="62" t="s">
        <v>92</v>
      </c>
      <c r="B29" s="62" t="s">
        <v>93</v>
      </c>
      <c r="C29" s="62">
        <v>34</v>
      </c>
      <c r="D29" s="62"/>
      <c r="E29" s="62">
        <v>5</v>
      </c>
      <c r="F29" s="62">
        <v>122.1</v>
      </c>
      <c r="G29" s="62"/>
      <c r="H29" s="62" t="s">
        <v>26</v>
      </c>
      <c r="I29" s="66">
        <f>6000000*122.1</f>
        <v>732600000</v>
      </c>
      <c r="J29" s="250">
        <f t="shared" si="0"/>
        <v>732600</v>
      </c>
    </row>
    <row r="30" spans="1:10">
      <c r="A30" s="65" t="s">
        <v>92</v>
      </c>
      <c r="B30" s="65" t="s">
        <v>93</v>
      </c>
      <c r="C30" s="65">
        <v>36</v>
      </c>
      <c r="D30" s="65"/>
      <c r="E30" s="65">
        <v>10</v>
      </c>
      <c r="F30" s="65">
        <v>174.3</v>
      </c>
      <c r="G30" s="65"/>
      <c r="H30" s="65" t="s">
        <v>26</v>
      </c>
      <c r="I30" s="58">
        <f>1101240000*0.93</f>
        <v>1024153200</v>
      </c>
      <c r="J30" s="251">
        <f t="shared" si="0"/>
        <v>1024153.2</v>
      </c>
    </row>
    <row r="31" spans="1:10">
      <c r="A31" s="65" t="s">
        <v>92</v>
      </c>
      <c r="B31" s="65" t="s">
        <v>93</v>
      </c>
      <c r="C31" s="65">
        <v>37</v>
      </c>
      <c r="D31" s="65"/>
      <c r="E31" s="65">
        <v>9.6999999999999993</v>
      </c>
      <c r="F31" s="65">
        <v>146.80000000000001</v>
      </c>
      <c r="G31" s="65"/>
      <c r="H31" s="65" t="s">
        <v>26</v>
      </c>
      <c r="I31" s="58">
        <f>832923000*0.93</f>
        <v>774618390</v>
      </c>
      <c r="J31" s="251">
        <f t="shared" si="0"/>
        <v>774618.39</v>
      </c>
    </row>
    <row r="32" spans="1:10">
      <c r="A32" s="65" t="s">
        <v>92</v>
      </c>
      <c r="B32" s="65" t="s">
        <v>94</v>
      </c>
      <c r="C32" s="65">
        <v>38</v>
      </c>
      <c r="D32" s="65" t="s">
        <v>95</v>
      </c>
      <c r="E32" s="65">
        <v>18.5</v>
      </c>
      <c r="F32" s="65">
        <v>232.7</v>
      </c>
      <c r="G32" s="65"/>
      <c r="H32" s="65" t="s">
        <v>26</v>
      </c>
      <c r="I32" s="58">
        <f>1481760000*0.93</f>
        <v>1378036800</v>
      </c>
      <c r="J32" s="251">
        <f t="shared" si="0"/>
        <v>1378036.8</v>
      </c>
    </row>
    <row r="33" spans="1:10">
      <c r="A33" s="65" t="s">
        <v>92</v>
      </c>
      <c r="B33" s="65" t="s">
        <v>90</v>
      </c>
      <c r="C33" s="65">
        <v>39</v>
      </c>
      <c r="D33" s="65">
        <v>18</v>
      </c>
      <c r="E33" s="65">
        <v>10.4</v>
      </c>
      <c r="F33" s="65">
        <v>187.20000000000002</v>
      </c>
      <c r="G33" s="65"/>
      <c r="H33" s="65" t="s">
        <v>26</v>
      </c>
      <c r="I33" s="58">
        <f>1671652500*0.93</f>
        <v>1554636825</v>
      </c>
      <c r="J33" s="251">
        <f t="shared" si="0"/>
        <v>1554636.825</v>
      </c>
    </row>
    <row r="34" spans="1:10">
      <c r="A34" s="65" t="s">
        <v>92</v>
      </c>
      <c r="B34" s="65" t="s">
        <v>90</v>
      </c>
      <c r="C34" s="65">
        <v>40</v>
      </c>
      <c r="D34" s="65">
        <v>18</v>
      </c>
      <c r="E34" s="65">
        <v>5</v>
      </c>
      <c r="F34" s="65">
        <v>90</v>
      </c>
      <c r="G34" s="65"/>
      <c r="H34" s="65" t="s">
        <v>26</v>
      </c>
      <c r="I34" s="58">
        <f>850000000*0.93</f>
        <v>790500000</v>
      </c>
      <c r="J34" s="251">
        <f t="shared" si="0"/>
        <v>790500</v>
      </c>
    </row>
    <row r="35" spans="1:10">
      <c r="A35" s="65"/>
      <c r="B35" s="68" t="s">
        <v>96</v>
      </c>
      <c r="C35" s="65"/>
      <c r="D35" s="65"/>
      <c r="E35" s="65"/>
      <c r="F35" s="65"/>
      <c r="G35" s="65"/>
      <c r="H35" s="65"/>
      <c r="I35" s="58"/>
      <c r="J35" s="251">
        <f t="shared" si="0"/>
        <v>0</v>
      </c>
    </row>
    <row r="36" spans="1:10">
      <c r="A36" s="65" t="s">
        <v>97</v>
      </c>
      <c r="B36" s="65" t="s">
        <v>93</v>
      </c>
      <c r="C36" s="65">
        <v>39</v>
      </c>
      <c r="D36" s="65">
        <v>20</v>
      </c>
      <c r="E36" s="65">
        <v>12.2</v>
      </c>
      <c r="F36" s="65">
        <v>244</v>
      </c>
      <c r="G36" s="65"/>
      <c r="H36" s="65" t="s">
        <v>26</v>
      </c>
      <c r="I36" s="58">
        <f>1746087000*0.93</f>
        <v>1623860910</v>
      </c>
      <c r="J36" s="251">
        <f t="shared" si="0"/>
        <v>1623860.91</v>
      </c>
    </row>
    <row r="37" spans="1:10">
      <c r="A37" s="65"/>
      <c r="B37" s="68" t="s">
        <v>98</v>
      </c>
      <c r="C37" s="65"/>
      <c r="D37" s="65"/>
      <c r="E37" s="65"/>
      <c r="F37" s="65"/>
      <c r="G37" s="65"/>
      <c r="H37" s="65"/>
      <c r="I37" s="58"/>
      <c r="J37" s="251">
        <f t="shared" si="0"/>
        <v>0</v>
      </c>
    </row>
    <row r="38" spans="1:10">
      <c r="A38" s="65" t="s">
        <v>99</v>
      </c>
      <c r="B38" s="65" t="s">
        <v>100</v>
      </c>
      <c r="C38" s="65">
        <v>37</v>
      </c>
      <c r="D38" s="65">
        <v>20</v>
      </c>
      <c r="E38" s="65">
        <v>5</v>
      </c>
      <c r="F38" s="65">
        <v>196.3</v>
      </c>
      <c r="G38" s="65"/>
      <c r="H38" s="65" t="s">
        <v>26</v>
      </c>
      <c r="I38" s="58">
        <f>832923000*0.93</f>
        <v>774618390</v>
      </c>
      <c r="J38" s="251">
        <f t="shared" si="0"/>
        <v>774618.39</v>
      </c>
    </row>
    <row r="39" spans="1:10">
      <c r="A39" s="65"/>
      <c r="B39" s="68" t="s">
        <v>101</v>
      </c>
      <c r="C39" s="65"/>
      <c r="D39" s="65"/>
      <c r="E39" s="65"/>
      <c r="F39" s="65"/>
      <c r="G39" s="65"/>
      <c r="H39" s="65"/>
      <c r="I39" s="58"/>
      <c r="J39" s="251">
        <f t="shared" si="0"/>
        <v>0</v>
      </c>
    </row>
    <row r="40" spans="1:10">
      <c r="A40" s="62" t="s">
        <v>78</v>
      </c>
      <c r="B40" s="62" t="s">
        <v>102</v>
      </c>
      <c r="C40" s="62">
        <v>24</v>
      </c>
      <c r="D40" s="62">
        <v>24</v>
      </c>
      <c r="E40" s="62">
        <v>9.1999999999999993</v>
      </c>
      <c r="F40" s="62">
        <v>290</v>
      </c>
      <c r="G40" s="62"/>
      <c r="H40" s="62" t="s">
        <v>26</v>
      </c>
      <c r="I40" s="66">
        <f>4840000*267</f>
        <v>1292280000</v>
      </c>
      <c r="J40" s="250">
        <f t="shared" si="0"/>
        <v>1292280</v>
      </c>
    </row>
    <row r="41" spans="1:10">
      <c r="A41" s="65" t="s">
        <v>78</v>
      </c>
      <c r="B41" s="65" t="s">
        <v>103</v>
      </c>
      <c r="C41" s="65">
        <v>25</v>
      </c>
      <c r="D41" s="65"/>
      <c r="E41" s="65"/>
      <c r="F41" s="65">
        <v>78.7</v>
      </c>
      <c r="G41" s="65"/>
      <c r="H41" s="65" t="s">
        <v>26</v>
      </c>
      <c r="I41" s="58">
        <f>720195000*0.93</f>
        <v>669781350</v>
      </c>
      <c r="J41" s="251">
        <f t="shared" si="0"/>
        <v>669781.35</v>
      </c>
    </row>
    <row r="42" spans="1:10">
      <c r="A42" s="65"/>
      <c r="B42" s="68" t="s">
        <v>104</v>
      </c>
      <c r="C42" s="65"/>
      <c r="D42" s="65"/>
      <c r="E42" s="65"/>
      <c r="F42" s="65"/>
      <c r="G42" s="65"/>
      <c r="H42" s="65"/>
      <c r="I42" s="58"/>
      <c r="J42" s="251">
        <f t="shared" si="0"/>
        <v>0</v>
      </c>
    </row>
    <row r="43" spans="1:10">
      <c r="A43" s="65" t="s">
        <v>105</v>
      </c>
      <c r="B43" s="65" t="s">
        <v>102</v>
      </c>
      <c r="C43" s="65">
        <v>13</v>
      </c>
      <c r="D43" s="65">
        <v>22.5</v>
      </c>
      <c r="E43" s="65">
        <v>5</v>
      </c>
      <c r="F43" s="65">
        <v>112.5</v>
      </c>
      <c r="G43" s="65"/>
      <c r="H43" s="65" t="s">
        <v>26</v>
      </c>
      <c r="I43" s="58">
        <f>945000000*0.93</f>
        <v>878850000</v>
      </c>
      <c r="J43" s="251">
        <f t="shared" si="0"/>
        <v>878850</v>
      </c>
    </row>
    <row r="44" spans="1:10">
      <c r="A44" s="65" t="s">
        <v>105</v>
      </c>
      <c r="B44" s="65" t="s">
        <v>102</v>
      </c>
      <c r="C44" s="65" t="s">
        <v>106</v>
      </c>
      <c r="D44" s="65">
        <v>22.5</v>
      </c>
      <c r="E44" s="65">
        <v>5</v>
      </c>
      <c r="F44" s="65">
        <v>112.5</v>
      </c>
      <c r="G44" s="65"/>
      <c r="H44" s="65" t="s">
        <v>26</v>
      </c>
      <c r="I44" s="58">
        <f>945000000*0.93</f>
        <v>878850000</v>
      </c>
      <c r="J44" s="251">
        <f t="shared" si="0"/>
        <v>878850</v>
      </c>
    </row>
    <row r="45" spans="1:10">
      <c r="A45" s="62" t="s">
        <v>105</v>
      </c>
      <c r="B45" s="62" t="s">
        <v>102</v>
      </c>
      <c r="C45" s="62">
        <v>14</v>
      </c>
      <c r="D45" s="62">
        <v>22.5</v>
      </c>
      <c r="E45" s="62">
        <v>5</v>
      </c>
      <c r="F45" s="62">
        <v>112.5</v>
      </c>
      <c r="G45" s="62"/>
      <c r="H45" s="62" t="s">
        <v>26</v>
      </c>
      <c r="I45" s="66">
        <f>6300000*112.5</f>
        <v>708750000</v>
      </c>
      <c r="J45" s="250">
        <f t="shared" si="0"/>
        <v>708750</v>
      </c>
    </row>
    <row r="46" spans="1:10">
      <c r="A46" s="65" t="s">
        <v>105</v>
      </c>
      <c r="B46" s="65" t="s">
        <v>102</v>
      </c>
      <c r="C46" s="65" t="s">
        <v>107</v>
      </c>
      <c r="D46" s="65">
        <v>22.5</v>
      </c>
      <c r="E46" s="65">
        <v>5</v>
      </c>
      <c r="F46" s="65">
        <v>112.5</v>
      </c>
      <c r="G46" s="65"/>
      <c r="H46" s="65" t="s">
        <v>26</v>
      </c>
      <c r="I46" s="58">
        <f>945000000*0.93</f>
        <v>878850000</v>
      </c>
      <c r="J46" s="251">
        <f t="shared" si="0"/>
        <v>878850</v>
      </c>
    </row>
    <row r="47" spans="1:10">
      <c r="A47" s="65" t="s">
        <v>105</v>
      </c>
      <c r="B47" s="65" t="s">
        <v>102</v>
      </c>
      <c r="C47" s="65">
        <v>15</v>
      </c>
      <c r="D47" s="65">
        <v>22.5</v>
      </c>
      <c r="E47" s="65">
        <v>5</v>
      </c>
      <c r="F47" s="65">
        <v>112.5</v>
      </c>
      <c r="G47" s="65"/>
      <c r="H47" s="65" t="s">
        <v>26</v>
      </c>
      <c r="I47" s="58">
        <f>945000000*0.93</f>
        <v>878850000</v>
      </c>
      <c r="J47" s="251">
        <f t="shared" si="0"/>
        <v>878850</v>
      </c>
    </row>
    <row r="48" spans="1:10">
      <c r="A48" s="65" t="s">
        <v>105</v>
      </c>
      <c r="B48" s="65" t="s">
        <v>102</v>
      </c>
      <c r="C48" s="65" t="s">
        <v>108</v>
      </c>
      <c r="D48" s="65">
        <v>22.5</v>
      </c>
      <c r="E48" s="65">
        <v>5</v>
      </c>
      <c r="F48" s="65">
        <v>112.5</v>
      </c>
      <c r="G48" s="65"/>
      <c r="H48" s="65" t="s">
        <v>26</v>
      </c>
      <c r="I48" s="58">
        <f t="shared" ref="I48:I55" si="2">945000000*0.93</f>
        <v>878850000</v>
      </c>
      <c r="J48" s="251">
        <f t="shared" si="0"/>
        <v>878850</v>
      </c>
    </row>
    <row r="49" spans="1:10">
      <c r="A49" s="65" t="s">
        <v>105</v>
      </c>
      <c r="B49" s="65" t="s">
        <v>102</v>
      </c>
      <c r="C49" s="65">
        <v>16</v>
      </c>
      <c r="D49" s="65">
        <v>22.5</v>
      </c>
      <c r="E49" s="65">
        <v>5</v>
      </c>
      <c r="F49" s="65">
        <v>112.5</v>
      </c>
      <c r="G49" s="65"/>
      <c r="H49" s="65" t="s">
        <v>26</v>
      </c>
      <c r="I49" s="58">
        <f t="shared" si="2"/>
        <v>878850000</v>
      </c>
      <c r="J49" s="251">
        <f t="shared" si="0"/>
        <v>878850</v>
      </c>
    </row>
    <row r="50" spans="1:10">
      <c r="A50" s="65" t="s">
        <v>105</v>
      </c>
      <c r="B50" s="65" t="s">
        <v>102</v>
      </c>
      <c r="C50" s="65" t="s">
        <v>109</v>
      </c>
      <c r="D50" s="65">
        <v>22.5</v>
      </c>
      <c r="E50" s="65">
        <v>5</v>
      </c>
      <c r="F50" s="65">
        <v>112.5</v>
      </c>
      <c r="G50" s="65"/>
      <c r="H50" s="65" t="s">
        <v>26</v>
      </c>
      <c r="I50" s="58">
        <f t="shared" si="2"/>
        <v>878850000</v>
      </c>
      <c r="J50" s="251">
        <f t="shared" si="0"/>
        <v>878850</v>
      </c>
    </row>
    <row r="51" spans="1:10">
      <c r="A51" s="65" t="s">
        <v>105</v>
      </c>
      <c r="B51" s="65" t="s">
        <v>102</v>
      </c>
      <c r="C51" s="65">
        <v>17</v>
      </c>
      <c r="D51" s="65">
        <v>22.5</v>
      </c>
      <c r="E51" s="65">
        <v>5</v>
      </c>
      <c r="F51" s="65">
        <v>112.5</v>
      </c>
      <c r="G51" s="65"/>
      <c r="H51" s="65" t="s">
        <v>26</v>
      </c>
      <c r="I51" s="58">
        <f t="shared" si="2"/>
        <v>878850000</v>
      </c>
      <c r="J51" s="251">
        <f t="shared" si="0"/>
        <v>878850</v>
      </c>
    </row>
    <row r="52" spans="1:10">
      <c r="A52" s="65" t="s">
        <v>105</v>
      </c>
      <c r="B52" s="65" t="s">
        <v>102</v>
      </c>
      <c r="C52" s="65" t="s">
        <v>110</v>
      </c>
      <c r="D52" s="65">
        <v>22.5</v>
      </c>
      <c r="E52" s="65">
        <v>5</v>
      </c>
      <c r="F52" s="65">
        <v>112.5</v>
      </c>
      <c r="G52" s="65"/>
      <c r="H52" s="65" t="s">
        <v>26</v>
      </c>
      <c r="I52" s="58">
        <f t="shared" si="2"/>
        <v>878850000</v>
      </c>
      <c r="J52" s="251">
        <f t="shared" si="0"/>
        <v>878850</v>
      </c>
    </row>
    <row r="53" spans="1:10">
      <c r="A53" s="65" t="s">
        <v>105</v>
      </c>
      <c r="B53" s="65" t="s">
        <v>102</v>
      </c>
      <c r="C53" s="65">
        <v>18</v>
      </c>
      <c r="D53" s="65">
        <v>22.5</v>
      </c>
      <c r="E53" s="65">
        <v>5</v>
      </c>
      <c r="F53" s="65">
        <v>112.5</v>
      </c>
      <c r="G53" s="65"/>
      <c r="H53" s="65" t="s">
        <v>26</v>
      </c>
      <c r="I53" s="58">
        <f t="shared" si="2"/>
        <v>878850000</v>
      </c>
      <c r="J53" s="251">
        <f t="shared" si="0"/>
        <v>878850</v>
      </c>
    </row>
    <row r="54" spans="1:10">
      <c r="A54" s="65" t="s">
        <v>105</v>
      </c>
      <c r="B54" s="65" t="s">
        <v>102</v>
      </c>
      <c r="C54" s="65" t="s">
        <v>111</v>
      </c>
      <c r="D54" s="65">
        <v>22.5</v>
      </c>
      <c r="E54" s="65">
        <v>5</v>
      </c>
      <c r="F54" s="65">
        <v>112.5</v>
      </c>
      <c r="G54" s="65"/>
      <c r="H54" s="65" t="s">
        <v>26</v>
      </c>
      <c r="I54" s="58">
        <f t="shared" si="2"/>
        <v>878850000</v>
      </c>
      <c r="J54" s="251">
        <f t="shared" si="0"/>
        <v>878850</v>
      </c>
    </row>
    <row r="55" spans="1:10">
      <c r="A55" s="65" t="s">
        <v>105</v>
      </c>
      <c r="B55" s="65" t="s">
        <v>102</v>
      </c>
      <c r="C55" s="65">
        <v>19</v>
      </c>
      <c r="D55" s="65">
        <v>22.5</v>
      </c>
      <c r="E55" s="65">
        <v>5</v>
      </c>
      <c r="F55" s="65">
        <v>112.5</v>
      </c>
      <c r="G55" s="65"/>
      <c r="H55" s="65" t="s">
        <v>26</v>
      </c>
      <c r="I55" s="58">
        <f t="shared" si="2"/>
        <v>878850000</v>
      </c>
      <c r="J55" s="251">
        <f t="shared" si="0"/>
        <v>878850</v>
      </c>
    </row>
    <row r="56" spans="1:10">
      <c r="A56" s="65" t="s">
        <v>105</v>
      </c>
      <c r="B56" s="65" t="s">
        <v>102</v>
      </c>
      <c r="C56" s="65" t="s">
        <v>112</v>
      </c>
      <c r="D56" s="65">
        <v>22.5</v>
      </c>
      <c r="E56" s="65">
        <v>8.5</v>
      </c>
      <c r="F56" s="65">
        <v>205</v>
      </c>
      <c r="G56" s="65"/>
      <c r="H56" s="65" t="s">
        <v>26</v>
      </c>
      <c r="I56" s="58">
        <f>1722000000*0.93</f>
        <v>1601460000</v>
      </c>
      <c r="J56" s="251">
        <f t="shared" si="0"/>
        <v>1601460</v>
      </c>
    </row>
    <row r="57" spans="1:10">
      <c r="A57" s="65"/>
      <c r="B57" s="68" t="s">
        <v>113</v>
      </c>
      <c r="C57" s="65"/>
      <c r="D57" s="65"/>
      <c r="E57" s="65"/>
      <c r="F57" s="65"/>
      <c r="G57" s="65"/>
      <c r="H57" s="65"/>
      <c r="I57" s="58"/>
      <c r="J57" s="251">
        <f t="shared" si="0"/>
        <v>0</v>
      </c>
    </row>
    <row r="58" spans="1:10">
      <c r="A58" s="65" t="s">
        <v>114</v>
      </c>
      <c r="B58" s="65" t="s">
        <v>102</v>
      </c>
      <c r="C58" s="65">
        <v>1</v>
      </c>
      <c r="D58" s="65">
        <v>16.100000000000001</v>
      </c>
      <c r="E58" s="65">
        <v>13.1</v>
      </c>
      <c r="F58" s="65">
        <v>211</v>
      </c>
      <c r="G58" s="65"/>
      <c r="H58" s="65" t="s">
        <v>26</v>
      </c>
      <c r="I58" s="58">
        <f>1730200000*0.93</f>
        <v>1609086000</v>
      </c>
      <c r="J58" s="251">
        <f t="shared" si="0"/>
        <v>1609086</v>
      </c>
    </row>
    <row r="59" spans="1:10">
      <c r="A59" s="65" t="s">
        <v>114</v>
      </c>
      <c r="B59" s="65" t="s">
        <v>102</v>
      </c>
      <c r="C59" s="65">
        <v>2</v>
      </c>
      <c r="D59" s="65">
        <v>17.399999999999999</v>
      </c>
      <c r="E59" s="65">
        <v>12.1</v>
      </c>
      <c r="F59" s="65">
        <v>211</v>
      </c>
      <c r="G59" s="65"/>
      <c r="H59" s="65" t="s">
        <v>26</v>
      </c>
      <c r="I59" s="58">
        <f>1582500000*0.93</f>
        <v>1471725000</v>
      </c>
      <c r="J59" s="251">
        <f t="shared" si="0"/>
        <v>1471725</v>
      </c>
    </row>
    <row r="60" spans="1:10">
      <c r="A60" s="65" t="s">
        <v>114</v>
      </c>
      <c r="B60" s="65" t="s">
        <v>102</v>
      </c>
      <c r="C60" s="65">
        <v>3</v>
      </c>
      <c r="D60" s="65">
        <v>19</v>
      </c>
      <c r="E60" s="65">
        <v>11.1</v>
      </c>
      <c r="F60" s="65">
        <v>211</v>
      </c>
      <c r="G60" s="65"/>
      <c r="H60" s="65" t="s">
        <v>26</v>
      </c>
      <c r="I60" s="58">
        <f>1540300000*0.93</f>
        <v>1432479000</v>
      </c>
      <c r="J60" s="251">
        <f t="shared" si="0"/>
        <v>1432479</v>
      </c>
    </row>
    <row r="61" spans="1:10">
      <c r="A61" s="65" t="s">
        <v>114</v>
      </c>
      <c r="B61" s="65" t="s">
        <v>102</v>
      </c>
      <c r="C61" s="65">
        <v>4</v>
      </c>
      <c r="D61" s="65">
        <v>19</v>
      </c>
      <c r="E61" s="65">
        <v>11.1</v>
      </c>
      <c r="F61" s="65">
        <v>211</v>
      </c>
      <c r="G61" s="65"/>
      <c r="H61" s="65" t="s">
        <v>26</v>
      </c>
      <c r="I61" s="58">
        <f>1540300000*0.93</f>
        <v>1432479000</v>
      </c>
      <c r="J61" s="251">
        <f t="shared" si="0"/>
        <v>1432479</v>
      </c>
    </row>
    <row r="62" spans="1:10">
      <c r="A62" s="65" t="s">
        <v>114</v>
      </c>
      <c r="B62" s="65" t="s">
        <v>102</v>
      </c>
      <c r="C62" s="65">
        <v>5</v>
      </c>
      <c r="D62" s="65">
        <v>22</v>
      </c>
      <c r="E62" s="65">
        <v>9.6</v>
      </c>
      <c r="F62" s="65">
        <v>211</v>
      </c>
      <c r="G62" s="65"/>
      <c r="H62" s="65" t="s">
        <v>26</v>
      </c>
      <c r="I62" s="58">
        <f>1392600000*0.93</f>
        <v>1295118000</v>
      </c>
      <c r="J62" s="251">
        <f t="shared" si="0"/>
        <v>1295118</v>
      </c>
    </row>
    <row r="63" spans="1:10">
      <c r="A63" s="65" t="s">
        <v>114</v>
      </c>
      <c r="B63" s="65" t="s">
        <v>102</v>
      </c>
      <c r="C63" s="65">
        <v>6</v>
      </c>
      <c r="D63" s="65">
        <v>19</v>
      </c>
      <c r="E63" s="65">
        <v>11.1</v>
      </c>
      <c r="F63" s="65">
        <v>211</v>
      </c>
      <c r="G63" s="65"/>
      <c r="H63" s="65" t="s">
        <v>26</v>
      </c>
      <c r="I63" s="58">
        <f>1540300000*0.93</f>
        <v>1432479000</v>
      </c>
      <c r="J63" s="251">
        <f t="shared" si="0"/>
        <v>1432479</v>
      </c>
    </row>
    <row r="64" spans="1:10">
      <c r="A64" s="65" t="s">
        <v>114</v>
      </c>
      <c r="B64" s="65" t="s">
        <v>102</v>
      </c>
      <c r="C64" s="65">
        <v>7</v>
      </c>
      <c r="D64" s="65">
        <v>19.2</v>
      </c>
      <c r="E64" s="65">
        <v>11</v>
      </c>
      <c r="F64" s="65">
        <v>211</v>
      </c>
      <c r="G64" s="65"/>
      <c r="H64" s="65" t="s">
        <v>26</v>
      </c>
      <c r="I64" s="58">
        <f>1540300000*0.93</f>
        <v>1432479000</v>
      </c>
      <c r="J64" s="251">
        <f t="shared" si="0"/>
        <v>1432479</v>
      </c>
    </row>
    <row r="65" spans="1:11">
      <c r="A65" s="65" t="s">
        <v>114</v>
      </c>
      <c r="B65" s="65" t="s">
        <v>102</v>
      </c>
      <c r="C65" s="65">
        <v>8</v>
      </c>
      <c r="D65" s="65">
        <v>19</v>
      </c>
      <c r="E65" s="65">
        <v>11.1</v>
      </c>
      <c r="F65" s="65">
        <v>211</v>
      </c>
      <c r="G65" s="65"/>
      <c r="H65" s="65" t="s">
        <v>26</v>
      </c>
      <c r="I65" s="58">
        <f>1540300000*0.93</f>
        <v>1432479000</v>
      </c>
      <c r="J65" s="251">
        <f t="shared" si="0"/>
        <v>1432479</v>
      </c>
    </row>
    <row r="66" spans="1:11">
      <c r="A66" s="65" t="s">
        <v>114</v>
      </c>
      <c r="B66" s="65" t="s">
        <v>102</v>
      </c>
      <c r="C66" s="65">
        <v>9</v>
      </c>
      <c r="D66" s="65">
        <v>20</v>
      </c>
      <c r="E66" s="65">
        <v>10.6</v>
      </c>
      <c r="F66" s="65">
        <v>211</v>
      </c>
      <c r="G66" s="65"/>
      <c r="H66" s="65" t="s">
        <v>26</v>
      </c>
      <c r="I66" s="58">
        <f>1392600000*0.93</f>
        <v>1295118000</v>
      </c>
      <c r="J66" s="251">
        <f t="shared" si="0"/>
        <v>1295118</v>
      </c>
    </row>
    <row r="67" spans="1:11">
      <c r="A67" s="65" t="s">
        <v>114</v>
      </c>
      <c r="B67" s="65" t="s">
        <v>102</v>
      </c>
      <c r="C67" s="65">
        <v>10</v>
      </c>
      <c r="D67" s="65">
        <v>18.899999999999999</v>
      </c>
      <c r="E67" s="65">
        <v>11.2</v>
      </c>
      <c r="F67" s="65">
        <v>211</v>
      </c>
      <c r="G67" s="65"/>
      <c r="H67" s="65" t="s">
        <v>26</v>
      </c>
      <c r="I67" s="58">
        <f>1392600000*0.93</f>
        <v>1295118000</v>
      </c>
      <c r="J67" s="251">
        <f t="shared" si="0"/>
        <v>1295118</v>
      </c>
    </row>
    <row r="68" spans="1:11">
      <c r="A68" s="65" t="s">
        <v>114</v>
      </c>
      <c r="B68" s="65" t="s">
        <v>102</v>
      </c>
      <c r="C68" s="65">
        <v>11</v>
      </c>
      <c r="D68" s="65">
        <v>19.2</v>
      </c>
      <c r="E68" s="65">
        <v>11</v>
      </c>
      <c r="F68" s="65">
        <v>211</v>
      </c>
      <c r="G68" s="65"/>
      <c r="H68" s="65" t="s">
        <v>26</v>
      </c>
      <c r="I68" s="58">
        <f>1540300000*0.93</f>
        <v>1432479000</v>
      </c>
      <c r="J68" s="251">
        <f t="shared" si="0"/>
        <v>1432479</v>
      </c>
    </row>
    <row r="69" spans="1:11">
      <c r="A69" s="65" t="s">
        <v>114</v>
      </c>
      <c r="B69" s="65" t="s">
        <v>102</v>
      </c>
      <c r="C69" s="65">
        <v>12</v>
      </c>
      <c r="D69" s="65">
        <v>19.2</v>
      </c>
      <c r="E69" s="65">
        <v>11</v>
      </c>
      <c r="F69" s="65">
        <v>211</v>
      </c>
      <c r="G69" s="65"/>
      <c r="H69" s="65" t="s">
        <v>26</v>
      </c>
      <c r="I69" s="58">
        <f>1540300000*0.93</f>
        <v>1432479000</v>
      </c>
      <c r="J69" s="251">
        <f t="shared" ref="J69:J92" si="3">I69/$K$1</f>
        <v>1432479</v>
      </c>
    </row>
    <row r="70" spans="1:11">
      <c r="A70" s="65" t="s">
        <v>114</v>
      </c>
      <c r="B70" s="65" t="s">
        <v>102</v>
      </c>
      <c r="C70" s="65">
        <v>13</v>
      </c>
      <c r="D70" s="65">
        <v>18.5</v>
      </c>
      <c r="E70" s="65">
        <v>11.4</v>
      </c>
      <c r="F70" s="65">
        <v>211</v>
      </c>
      <c r="G70" s="65"/>
      <c r="H70" s="65" t="s">
        <v>26</v>
      </c>
      <c r="I70" s="58">
        <f>1392600000*0.93</f>
        <v>1295118000</v>
      </c>
      <c r="J70" s="251">
        <f t="shared" si="3"/>
        <v>1295118</v>
      </c>
    </row>
    <row r="71" spans="1:11">
      <c r="A71" s="65" t="s">
        <v>114</v>
      </c>
      <c r="B71" s="65" t="s">
        <v>102</v>
      </c>
      <c r="C71" s="65">
        <v>14</v>
      </c>
      <c r="D71" s="65">
        <v>19.2</v>
      </c>
      <c r="E71" s="65">
        <v>11</v>
      </c>
      <c r="F71" s="65">
        <v>211</v>
      </c>
      <c r="G71" s="65"/>
      <c r="H71" s="65" t="s">
        <v>26</v>
      </c>
      <c r="I71" s="58">
        <f>1540300000*0.93</f>
        <v>1432479000</v>
      </c>
      <c r="J71" s="251">
        <f t="shared" si="3"/>
        <v>1432479</v>
      </c>
    </row>
    <row r="72" spans="1:11">
      <c r="A72" s="65" t="s">
        <v>114</v>
      </c>
      <c r="B72" s="65" t="s">
        <v>102</v>
      </c>
      <c r="C72" s="65">
        <v>15</v>
      </c>
      <c r="D72" s="65">
        <v>19.2</v>
      </c>
      <c r="E72" s="65">
        <v>11</v>
      </c>
      <c r="F72" s="65">
        <v>211</v>
      </c>
      <c r="G72" s="65"/>
      <c r="H72" s="65" t="s">
        <v>26</v>
      </c>
      <c r="I72" s="58">
        <f>1540300000*0.93</f>
        <v>1432479000</v>
      </c>
      <c r="J72" s="251">
        <f t="shared" si="3"/>
        <v>1432479</v>
      </c>
    </row>
    <row r="73" spans="1:11">
      <c r="A73" s="65" t="s">
        <v>114</v>
      </c>
      <c r="B73" s="65" t="s">
        <v>102</v>
      </c>
      <c r="C73" s="65">
        <v>16</v>
      </c>
      <c r="D73" s="65">
        <v>19.2</v>
      </c>
      <c r="E73" s="65">
        <v>11</v>
      </c>
      <c r="F73" s="65">
        <v>211</v>
      </c>
      <c r="G73" s="65"/>
      <c r="H73" s="65" t="s">
        <v>26</v>
      </c>
      <c r="I73" s="58">
        <f>1540300000*0.93</f>
        <v>1432479000</v>
      </c>
      <c r="J73" s="251">
        <f t="shared" si="3"/>
        <v>1432479</v>
      </c>
    </row>
    <row r="74" spans="1:11">
      <c r="A74" s="62" t="s">
        <v>114</v>
      </c>
      <c r="B74" s="62" t="s">
        <v>102</v>
      </c>
      <c r="C74" s="62">
        <v>17</v>
      </c>
      <c r="D74" s="62">
        <v>17.600000000000001</v>
      </c>
      <c r="E74" s="62">
        <v>12</v>
      </c>
      <c r="F74" s="62">
        <v>211</v>
      </c>
      <c r="G74" s="62"/>
      <c r="H74" s="62" t="s">
        <v>26</v>
      </c>
      <c r="I74" s="69">
        <f>5750000*211</f>
        <v>1213250000</v>
      </c>
      <c r="J74" s="250">
        <f t="shared" si="3"/>
        <v>1213250</v>
      </c>
      <c r="K74" s="70" t="s">
        <v>115</v>
      </c>
    </row>
    <row r="75" spans="1:11">
      <c r="A75" s="65" t="s">
        <v>114</v>
      </c>
      <c r="B75" s="65" t="s">
        <v>94</v>
      </c>
      <c r="C75" s="65">
        <v>18</v>
      </c>
      <c r="D75" s="65">
        <v>8.1999999999999993</v>
      </c>
      <c r="E75" s="65">
        <v>12.8</v>
      </c>
      <c r="F75" s="65">
        <v>100</v>
      </c>
      <c r="G75" s="65"/>
      <c r="H75" s="65" t="s">
        <v>26</v>
      </c>
      <c r="I75" s="58">
        <f>610000000*0.93</f>
        <v>567300000</v>
      </c>
      <c r="J75" s="251">
        <f t="shared" si="3"/>
        <v>567300</v>
      </c>
    </row>
    <row r="76" spans="1:11">
      <c r="A76" s="65"/>
      <c r="B76" s="68" t="s">
        <v>116</v>
      </c>
      <c r="C76" s="65"/>
      <c r="D76" s="65"/>
      <c r="E76" s="65"/>
      <c r="F76" s="65"/>
      <c r="G76" s="65"/>
      <c r="H76" s="65"/>
      <c r="I76" s="58"/>
      <c r="J76" s="251">
        <f t="shared" si="3"/>
        <v>0</v>
      </c>
    </row>
    <row r="77" spans="1:11">
      <c r="A77" s="65" t="s">
        <v>117</v>
      </c>
      <c r="B77" s="65" t="s">
        <v>118</v>
      </c>
      <c r="C77" s="65">
        <v>1</v>
      </c>
      <c r="D77" s="65">
        <v>32.799999999999997</v>
      </c>
      <c r="E77" s="65">
        <v>10</v>
      </c>
      <c r="F77" s="65">
        <v>267.7</v>
      </c>
      <c r="G77" s="65"/>
      <c r="H77" s="65" t="s">
        <v>26</v>
      </c>
      <c r="I77" s="58">
        <f>3630800000*0.93</f>
        <v>3376644000</v>
      </c>
      <c r="J77" s="251">
        <f t="shared" si="3"/>
        <v>3376644</v>
      </c>
    </row>
    <row r="78" spans="1:11">
      <c r="A78" s="65"/>
      <c r="B78" s="68" t="s">
        <v>119</v>
      </c>
      <c r="C78" s="65"/>
      <c r="D78" s="65"/>
      <c r="E78" s="65"/>
      <c r="F78" s="65"/>
      <c r="G78" s="65"/>
      <c r="H78" s="65"/>
      <c r="I78" s="58"/>
      <c r="J78" s="251">
        <f t="shared" si="3"/>
        <v>0</v>
      </c>
    </row>
    <row r="79" spans="1:11">
      <c r="A79" s="65" t="s">
        <v>120</v>
      </c>
      <c r="B79" s="65" t="s">
        <v>118</v>
      </c>
      <c r="C79" s="65">
        <v>3</v>
      </c>
      <c r="D79" s="65">
        <v>22</v>
      </c>
      <c r="E79" s="65">
        <v>6</v>
      </c>
      <c r="F79" s="65">
        <v>132</v>
      </c>
      <c r="G79" s="65"/>
      <c r="H79" s="65" t="s">
        <v>26</v>
      </c>
      <c r="I79" s="58">
        <f>1821600000*0.93</f>
        <v>1694088000</v>
      </c>
      <c r="J79" s="251">
        <f t="shared" si="3"/>
        <v>1694088</v>
      </c>
    </row>
    <row r="80" spans="1:11">
      <c r="A80" s="62" t="s">
        <v>120</v>
      </c>
      <c r="B80" s="62" t="s">
        <v>118</v>
      </c>
      <c r="C80" s="62">
        <v>4</v>
      </c>
      <c r="D80" s="62">
        <v>22</v>
      </c>
      <c r="E80" s="62">
        <v>7.5</v>
      </c>
      <c r="F80" s="62">
        <v>165</v>
      </c>
      <c r="G80" s="62"/>
      <c r="H80" s="62" t="s">
        <v>26</v>
      </c>
      <c r="I80" s="66">
        <f>10000000*176.8</f>
        <v>1768000000</v>
      </c>
      <c r="J80" s="250">
        <f t="shared" si="3"/>
        <v>1768000</v>
      </c>
    </row>
    <row r="81" spans="1:10">
      <c r="A81" s="65" t="s">
        <v>120</v>
      </c>
      <c r="B81" s="65" t="s">
        <v>118</v>
      </c>
      <c r="C81" s="65">
        <v>5</v>
      </c>
      <c r="D81" s="65">
        <v>22</v>
      </c>
      <c r="E81" s="65">
        <v>8.8000000000000007</v>
      </c>
      <c r="F81" s="65">
        <v>175</v>
      </c>
      <c r="G81" s="65"/>
      <c r="H81" s="65" t="s">
        <v>26</v>
      </c>
      <c r="I81" s="58">
        <f>2211020000*0.93</f>
        <v>2056248600</v>
      </c>
      <c r="J81" s="251">
        <f t="shared" si="3"/>
        <v>2056248.6</v>
      </c>
    </row>
    <row r="82" spans="1:10">
      <c r="A82" s="65"/>
      <c r="B82" s="68" t="s">
        <v>121</v>
      </c>
      <c r="C82" s="65"/>
      <c r="D82" s="65"/>
      <c r="E82" s="65"/>
      <c r="F82" s="65"/>
      <c r="G82" s="65"/>
      <c r="H82" s="65"/>
      <c r="I82" s="58"/>
      <c r="J82" s="251">
        <f t="shared" si="3"/>
        <v>0</v>
      </c>
    </row>
    <row r="83" spans="1:10">
      <c r="A83" s="65" t="s">
        <v>122</v>
      </c>
      <c r="B83" s="65" t="s">
        <v>102</v>
      </c>
      <c r="C83" s="65">
        <v>1</v>
      </c>
      <c r="D83" s="65">
        <v>35</v>
      </c>
      <c r="E83" s="65">
        <v>14.26</v>
      </c>
      <c r="F83" s="65">
        <v>499</v>
      </c>
      <c r="G83" s="65"/>
      <c r="H83" s="65" t="s">
        <v>26</v>
      </c>
      <c r="I83" s="58">
        <f>3343300000*0.93</f>
        <v>3109269000</v>
      </c>
      <c r="J83" s="251">
        <f t="shared" si="3"/>
        <v>3109269</v>
      </c>
    </row>
    <row r="84" spans="1:10">
      <c r="A84" s="65" t="s">
        <v>122</v>
      </c>
      <c r="B84" s="65">
        <v>7.5</v>
      </c>
      <c r="C84" s="65">
        <v>2</v>
      </c>
      <c r="D84" s="65">
        <v>35</v>
      </c>
      <c r="E84" s="65">
        <v>13.2</v>
      </c>
      <c r="F84" s="65">
        <v>460</v>
      </c>
      <c r="G84" s="65"/>
      <c r="H84" s="65" t="s">
        <v>26</v>
      </c>
      <c r="I84" s="58">
        <f>2622000000*0.93</f>
        <v>2438460000</v>
      </c>
      <c r="J84" s="251">
        <f t="shared" si="3"/>
        <v>2438460</v>
      </c>
    </row>
    <row r="85" spans="1:10">
      <c r="A85" s="65"/>
      <c r="B85" s="68" t="s">
        <v>123</v>
      </c>
      <c r="C85" s="65"/>
      <c r="D85" s="65"/>
      <c r="E85" s="65"/>
      <c r="F85" s="65"/>
      <c r="G85" s="65"/>
      <c r="H85" s="65"/>
      <c r="I85" s="58"/>
      <c r="J85" s="251">
        <f t="shared" si="3"/>
        <v>0</v>
      </c>
    </row>
    <row r="86" spans="1:10">
      <c r="A86" s="65" t="s">
        <v>124</v>
      </c>
      <c r="B86" s="65">
        <v>7.5</v>
      </c>
      <c r="C86" s="65"/>
      <c r="D86" s="65">
        <v>35</v>
      </c>
      <c r="E86" s="65">
        <v>22</v>
      </c>
      <c r="F86" s="65">
        <v>768.3</v>
      </c>
      <c r="G86" s="65"/>
      <c r="H86" s="65" t="s">
        <v>26</v>
      </c>
      <c r="I86" s="58">
        <f>4148820000*0.93</f>
        <v>3858402600</v>
      </c>
      <c r="J86" s="251">
        <f t="shared" si="3"/>
        <v>3858402.6</v>
      </c>
    </row>
    <row r="87" spans="1:10">
      <c r="A87" s="65" t="s">
        <v>124</v>
      </c>
      <c r="B87" s="65">
        <v>7.5</v>
      </c>
      <c r="C87" s="65"/>
      <c r="D87" s="65">
        <v>35</v>
      </c>
      <c r="E87" s="65">
        <v>21.36</v>
      </c>
      <c r="F87" s="65">
        <v>747.7</v>
      </c>
      <c r="G87" s="65"/>
      <c r="H87" s="65" t="s">
        <v>26</v>
      </c>
      <c r="I87" s="58">
        <f>3813270000*0.93</f>
        <v>3546341100</v>
      </c>
      <c r="J87" s="251">
        <f t="shared" si="3"/>
        <v>3546341.1</v>
      </c>
    </row>
    <row r="88" spans="1:10">
      <c r="A88" s="71" t="s">
        <v>125</v>
      </c>
      <c r="B88" s="71" t="s">
        <v>126</v>
      </c>
      <c r="C88" s="71"/>
      <c r="D88" s="71">
        <v>22</v>
      </c>
      <c r="E88" s="71">
        <v>14</v>
      </c>
      <c r="F88" s="71">
        <v>231</v>
      </c>
      <c r="G88" s="71"/>
      <c r="H88" s="71" t="s">
        <v>26</v>
      </c>
      <c r="I88" s="58">
        <f>970200000*0.93</f>
        <v>902286000</v>
      </c>
      <c r="J88" s="251">
        <f t="shared" si="3"/>
        <v>902286</v>
      </c>
    </row>
    <row r="89" spans="1:10" ht="16.5">
      <c r="A89" s="72" t="s">
        <v>92</v>
      </c>
      <c r="B89" s="73" t="s">
        <v>93</v>
      </c>
      <c r="C89" s="73">
        <v>33</v>
      </c>
      <c r="D89" s="74">
        <v>18</v>
      </c>
      <c r="E89" s="74">
        <v>5</v>
      </c>
      <c r="F89" s="75">
        <f>D89*E89</f>
        <v>90</v>
      </c>
      <c r="G89" s="73"/>
      <c r="H89" s="76" t="s">
        <v>26</v>
      </c>
      <c r="I89" s="77">
        <v>396000000</v>
      </c>
      <c r="J89" s="250">
        <f t="shared" si="3"/>
        <v>396000</v>
      </c>
    </row>
    <row r="90" spans="1:10" ht="16.5">
      <c r="A90" s="72" t="s">
        <v>92</v>
      </c>
      <c r="B90" s="73" t="s">
        <v>93</v>
      </c>
      <c r="C90" s="73">
        <v>35</v>
      </c>
      <c r="D90" s="78"/>
      <c r="E90" s="74">
        <v>5</v>
      </c>
      <c r="F90" s="75">
        <v>108.2</v>
      </c>
      <c r="G90" s="73"/>
      <c r="H90" s="79" t="s">
        <v>26</v>
      </c>
      <c r="I90" s="77">
        <v>471752000</v>
      </c>
      <c r="J90" s="250">
        <f t="shared" si="3"/>
        <v>471752</v>
      </c>
    </row>
    <row r="91" spans="1:10" ht="16.5">
      <c r="A91" s="72" t="s">
        <v>92</v>
      </c>
      <c r="B91" s="72" t="s">
        <v>90</v>
      </c>
      <c r="C91" s="73">
        <v>49</v>
      </c>
      <c r="D91" s="80"/>
      <c r="E91" s="80"/>
      <c r="F91" s="81">
        <v>90</v>
      </c>
      <c r="G91" s="72"/>
      <c r="H91" s="82" t="s">
        <v>26</v>
      </c>
      <c r="I91" s="77">
        <f>5820000*90</f>
        <v>523800000</v>
      </c>
      <c r="J91" s="250">
        <f t="shared" si="3"/>
        <v>523800</v>
      </c>
    </row>
    <row r="92" spans="1:10" ht="16.5">
      <c r="A92" s="83" t="s">
        <v>120</v>
      </c>
      <c r="B92" s="84">
        <v>7.5</v>
      </c>
      <c r="C92" s="84">
        <v>6</v>
      </c>
      <c r="D92" s="85"/>
      <c r="E92" s="85"/>
      <c r="F92" s="86">
        <v>117.5</v>
      </c>
      <c r="G92" s="84">
        <v>7.5</v>
      </c>
      <c r="H92" s="82" t="s">
        <v>26</v>
      </c>
      <c r="I92" s="77">
        <f>6030000*105.8</f>
        <v>637974000</v>
      </c>
      <c r="J92" s="252">
        <f t="shared" si="3"/>
        <v>637974</v>
      </c>
    </row>
    <row r="93" spans="1:10" ht="12.75">
      <c r="A93" s="255" t="s">
        <v>225</v>
      </c>
      <c r="I93" s="87">
        <f>SUM(I4:I92)</f>
        <v>111016360165</v>
      </c>
      <c r="J93" s="87">
        <f>SUM(J4:J92)</f>
        <v>111016360.16499999</v>
      </c>
    </row>
    <row r="95" spans="1:10">
      <c r="B95" s="253" t="s">
        <v>219</v>
      </c>
      <c r="C95" s="254">
        <f>SUM(J4:J14)</f>
        <v>28354511</v>
      </c>
    </row>
    <row r="96" spans="1:10">
      <c r="B96" s="253" t="s">
        <v>220</v>
      </c>
      <c r="C96" s="254">
        <f>SUM(J26:J92)</f>
        <v>74351276.164999992</v>
      </c>
    </row>
    <row r="97" spans="2:3">
      <c r="B97" s="253" t="s">
        <v>221</v>
      </c>
      <c r="C97" s="254">
        <f>SUM(J16:J24)</f>
        <v>8310573</v>
      </c>
    </row>
  </sheetData>
  <mergeCells count="1">
    <mergeCell ref="A1:I1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E19" sqref="E19"/>
    </sheetView>
  </sheetViews>
  <sheetFormatPr defaultRowHeight="15"/>
  <cols>
    <col min="1" max="1" width="13.28515625" style="59" customWidth="1"/>
    <col min="2" max="2" width="12.5703125" style="59" customWidth="1"/>
    <col min="3" max="3" width="11.42578125" style="59" customWidth="1"/>
    <col min="4" max="4" width="15.5703125" style="88" hidden="1" customWidth="1"/>
    <col min="5" max="5" width="18.5703125" style="59" customWidth="1"/>
    <col min="6" max="256" width="9.140625" style="59"/>
    <col min="257" max="257" width="13.28515625" style="59" customWidth="1"/>
    <col min="258" max="258" width="12.5703125" style="59" customWidth="1"/>
    <col min="259" max="259" width="11.42578125" style="59" customWidth="1"/>
    <col min="260" max="260" width="15.5703125" style="59" customWidth="1"/>
    <col min="261" max="512" width="9.140625" style="59"/>
    <col min="513" max="513" width="13.28515625" style="59" customWidth="1"/>
    <col min="514" max="514" width="12.5703125" style="59" customWidth="1"/>
    <col min="515" max="515" width="11.42578125" style="59" customWidth="1"/>
    <col min="516" max="516" width="15.5703125" style="59" customWidth="1"/>
    <col min="517" max="768" width="9.140625" style="59"/>
    <col min="769" max="769" width="13.28515625" style="59" customWidth="1"/>
    <col min="770" max="770" width="12.5703125" style="59" customWidth="1"/>
    <col min="771" max="771" width="11.42578125" style="59" customWidth="1"/>
    <col min="772" max="772" width="15.5703125" style="59" customWidth="1"/>
    <col min="773" max="1024" width="9.140625" style="59"/>
    <col min="1025" max="1025" width="13.28515625" style="59" customWidth="1"/>
    <col min="1026" max="1026" width="12.5703125" style="59" customWidth="1"/>
    <col min="1027" max="1027" width="11.42578125" style="59" customWidth="1"/>
    <col min="1028" max="1028" width="15.5703125" style="59" customWidth="1"/>
    <col min="1029" max="1280" width="9.140625" style="59"/>
    <col min="1281" max="1281" width="13.28515625" style="59" customWidth="1"/>
    <col min="1282" max="1282" width="12.5703125" style="59" customWidth="1"/>
    <col min="1283" max="1283" width="11.42578125" style="59" customWidth="1"/>
    <col min="1284" max="1284" width="15.5703125" style="59" customWidth="1"/>
    <col min="1285" max="1536" width="9.140625" style="59"/>
    <col min="1537" max="1537" width="13.28515625" style="59" customWidth="1"/>
    <col min="1538" max="1538" width="12.5703125" style="59" customWidth="1"/>
    <col min="1539" max="1539" width="11.42578125" style="59" customWidth="1"/>
    <col min="1540" max="1540" width="15.5703125" style="59" customWidth="1"/>
    <col min="1541" max="1792" width="9.140625" style="59"/>
    <col min="1793" max="1793" width="13.28515625" style="59" customWidth="1"/>
    <col min="1794" max="1794" width="12.5703125" style="59" customWidth="1"/>
    <col min="1795" max="1795" width="11.42578125" style="59" customWidth="1"/>
    <col min="1796" max="1796" width="15.5703125" style="59" customWidth="1"/>
    <col min="1797" max="2048" width="9.140625" style="59"/>
    <col min="2049" max="2049" width="13.28515625" style="59" customWidth="1"/>
    <col min="2050" max="2050" width="12.5703125" style="59" customWidth="1"/>
    <col min="2051" max="2051" width="11.42578125" style="59" customWidth="1"/>
    <col min="2052" max="2052" width="15.5703125" style="59" customWidth="1"/>
    <col min="2053" max="2304" width="9.140625" style="59"/>
    <col min="2305" max="2305" width="13.28515625" style="59" customWidth="1"/>
    <col min="2306" max="2306" width="12.5703125" style="59" customWidth="1"/>
    <col min="2307" max="2307" width="11.42578125" style="59" customWidth="1"/>
    <col min="2308" max="2308" width="15.5703125" style="59" customWidth="1"/>
    <col min="2309" max="2560" width="9.140625" style="59"/>
    <col min="2561" max="2561" width="13.28515625" style="59" customWidth="1"/>
    <col min="2562" max="2562" width="12.5703125" style="59" customWidth="1"/>
    <col min="2563" max="2563" width="11.42578125" style="59" customWidth="1"/>
    <col min="2564" max="2564" width="15.5703125" style="59" customWidth="1"/>
    <col min="2565" max="2816" width="9.140625" style="59"/>
    <col min="2817" max="2817" width="13.28515625" style="59" customWidth="1"/>
    <col min="2818" max="2818" width="12.5703125" style="59" customWidth="1"/>
    <col min="2819" max="2819" width="11.42578125" style="59" customWidth="1"/>
    <col min="2820" max="2820" width="15.5703125" style="59" customWidth="1"/>
    <col min="2821" max="3072" width="9.140625" style="59"/>
    <col min="3073" max="3073" width="13.28515625" style="59" customWidth="1"/>
    <col min="3074" max="3074" width="12.5703125" style="59" customWidth="1"/>
    <col min="3075" max="3075" width="11.42578125" style="59" customWidth="1"/>
    <col min="3076" max="3076" width="15.5703125" style="59" customWidth="1"/>
    <col min="3077" max="3328" width="9.140625" style="59"/>
    <col min="3329" max="3329" width="13.28515625" style="59" customWidth="1"/>
    <col min="3330" max="3330" width="12.5703125" style="59" customWidth="1"/>
    <col min="3331" max="3331" width="11.42578125" style="59" customWidth="1"/>
    <col min="3332" max="3332" width="15.5703125" style="59" customWidth="1"/>
    <col min="3333" max="3584" width="9.140625" style="59"/>
    <col min="3585" max="3585" width="13.28515625" style="59" customWidth="1"/>
    <col min="3586" max="3586" width="12.5703125" style="59" customWidth="1"/>
    <col min="3587" max="3587" width="11.42578125" style="59" customWidth="1"/>
    <col min="3588" max="3588" width="15.5703125" style="59" customWidth="1"/>
    <col min="3589" max="3840" width="9.140625" style="59"/>
    <col min="3841" max="3841" width="13.28515625" style="59" customWidth="1"/>
    <col min="3842" max="3842" width="12.5703125" style="59" customWidth="1"/>
    <col min="3843" max="3843" width="11.42578125" style="59" customWidth="1"/>
    <col min="3844" max="3844" width="15.5703125" style="59" customWidth="1"/>
    <col min="3845" max="4096" width="9.140625" style="59"/>
    <col min="4097" max="4097" width="13.28515625" style="59" customWidth="1"/>
    <col min="4098" max="4098" width="12.5703125" style="59" customWidth="1"/>
    <col min="4099" max="4099" width="11.42578125" style="59" customWidth="1"/>
    <col min="4100" max="4100" width="15.5703125" style="59" customWidth="1"/>
    <col min="4101" max="4352" width="9.140625" style="59"/>
    <col min="4353" max="4353" width="13.28515625" style="59" customWidth="1"/>
    <col min="4354" max="4354" width="12.5703125" style="59" customWidth="1"/>
    <col min="4355" max="4355" width="11.42578125" style="59" customWidth="1"/>
    <col min="4356" max="4356" width="15.5703125" style="59" customWidth="1"/>
    <col min="4357" max="4608" width="9.140625" style="59"/>
    <col min="4609" max="4609" width="13.28515625" style="59" customWidth="1"/>
    <col min="4610" max="4610" width="12.5703125" style="59" customWidth="1"/>
    <col min="4611" max="4611" width="11.42578125" style="59" customWidth="1"/>
    <col min="4612" max="4612" width="15.5703125" style="59" customWidth="1"/>
    <col min="4613" max="4864" width="9.140625" style="59"/>
    <col min="4865" max="4865" width="13.28515625" style="59" customWidth="1"/>
    <col min="4866" max="4866" width="12.5703125" style="59" customWidth="1"/>
    <col min="4867" max="4867" width="11.42578125" style="59" customWidth="1"/>
    <col min="4868" max="4868" width="15.5703125" style="59" customWidth="1"/>
    <col min="4869" max="5120" width="9.140625" style="59"/>
    <col min="5121" max="5121" width="13.28515625" style="59" customWidth="1"/>
    <col min="5122" max="5122" width="12.5703125" style="59" customWidth="1"/>
    <col min="5123" max="5123" width="11.42578125" style="59" customWidth="1"/>
    <col min="5124" max="5124" width="15.5703125" style="59" customWidth="1"/>
    <col min="5125" max="5376" width="9.140625" style="59"/>
    <col min="5377" max="5377" width="13.28515625" style="59" customWidth="1"/>
    <col min="5378" max="5378" width="12.5703125" style="59" customWidth="1"/>
    <col min="5379" max="5379" width="11.42578125" style="59" customWidth="1"/>
    <col min="5380" max="5380" width="15.5703125" style="59" customWidth="1"/>
    <col min="5381" max="5632" width="9.140625" style="59"/>
    <col min="5633" max="5633" width="13.28515625" style="59" customWidth="1"/>
    <col min="5634" max="5634" width="12.5703125" style="59" customWidth="1"/>
    <col min="5635" max="5635" width="11.42578125" style="59" customWidth="1"/>
    <col min="5636" max="5636" width="15.5703125" style="59" customWidth="1"/>
    <col min="5637" max="5888" width="9.140625" style="59"/>
    <col min="5889" max="5889" width="13.28515625" style="59" customWidth="1"/>
    <col min="5890" max="5890" width="12.5703125" style="59" customWidth="1"/>
    <col min="5891" max="5891" width="11.42578125" style="59" customWidth="1"/>
    <col min="5892" max="5892" width="15.5703125" style="59" customWidth="1"/>
    <col min="5893" max="6144" width="9.140625" style="59"/>
    <col min="6145" max="6145" width="13.28515625" style="59" customWidth="1"/>
    <col min="6146" max="6146" width="12.5703125" style="59" customWidth="1"/>
    <col min="6147" max="6147" width="11.42578125" style="59" customWidth="1"/>
    <col min="6148" max="6148" width="15.5703125" style="59" customWidth="1"/>
    <col min="6149" max="6400" width="9.140625" style="59"/>
    <col min="6401" max="6401" width="13.28515625" style="59" customWidth="1"/>
    <col min="6402" max="6402" width="12.5703125" style="59" customWidth="1"/>
    <col min="6403" max="6403" width="11.42578125" style="59" customWidth="1"/>
    <col min="6404" max="6404" width="15.5703125" style="59" customWidth="1"/>
    <col min="6405" max="6656" width="9.140625" style="59"/>
    <col min="6657" max="6657" width="13.28515625" style="59" customWidth="1"/>
    <col min="6658" max="6658" width="12.5703125" style="59" customWidth="1"/>
    <col min="6659" max="6659" width="11.42578125" style="59" customWidth="1"/>
    <col min="6660" max="6660" width="15.5703125" style="59" customWidth="1"/>
    <col min="6661" max="6912" width="9.140625" style="59"/>
    <col min="6913" max="6913" width="13.28515625" style="59" customWidth="1"/>
    <col min="6914" max="6914" width="12.5703125" style="59" customWidth="1"/>
    <col min="6915" max="6915" width="11.42578125" style="59" customWidth="1"/>
    <col min="6916" max="6916" width="15.5703125" style="59" customWidth="1"/>
    <col min="6917" max="7168" width="9.140625" style="59"/>
    <col min="7169" max="7169" width="13.28515625" style="59" customWidth="1"/>
    <col min="7170" max="7170" width="12.5703125" style="59" customWidth="1"/>
    <col min="7171" max="7171" width="11.42578125" style="59" customWidth="1"/>
    <col min="7172" max="7172" width="15.5703125" style="59" customWidth="1"/>
    <col min="7173" max="7424" width="9.140625" style="59"/>
    <col min="7425" max="7425" width="13.28515625" style="59" customWidth="1"/>
    <col min="7426" max="7426" width="12.5703125" style="59" customWidth="1"/>
    <col min="7427" max="7427" width="11.42578125" style="59" customWidth="1"/>
    <col min="7428" max="7428" width="15.5703125" style="59" customWidth="1"/>
    <col min="7429" max="7680" width="9.140625" style="59"/>
    <col min="7681" max="7681" width="13.28515625" style="59" customWidth="1"/>
    <col min="7682" max="7682" width="12.5703125" style="59" customWidth="1"/>
    <col min="7683" max="7683" width="11.42578125" style="59" customWidth="1"/>
    <col min="7684" max="7684" width="15.5703125" style="59" customWidth="1"/>
    <col min="7685" max="7936" width="9.140625" style="59"/>
    <col min="7937" max="7937" width="13.28515625" style="59" customWidth="1"/>
    <col min="7938" max="7938" width="12.5703125" style="59" customWidth="1"/>
    <col min="7939" max="7939" width="11.42578125" style="59" customWidth="1"/>
    <col min="7940" max="7940" width="15.5703125" style="59" customWidth="1"/>
    <col min="7941" max="8192" width="9.140625" style="59"/>
    <col min="8193" max="8193" width="13.28515625" style="59" customWidth="1"/>
    <col min="8194" max="8194" width="12.5703125" style="59" customWidth="1"/>
    <col min="8195" max="8195" width="11.42578125" style="59" customWidth="1"/>
    <col min="8196" max="8196" width="15.5703125" style="59" customWidth="1"/>
    <col min="8197" max="8448" width="9.140625" style="59"/>
    <col min="8449" max="8449" width="13.28515625" style="59" customWidth="1"/>
    <col min="8450" max="8450" width="12.5703125" style="59" customWidth="1"/>
    <col min="8451" max="8451" width="11.42578125" style="59" customWidth="1"/>
    <col min="8452" max="8452" width="15.5703125" style="59" customWidth="1"/>
    <col min="8453" max="8704" width="9.140625" style="59"/>
    <col min="8705" max="8705" width="13.28515625" style="59" customWidth="1"/>
    <col min="8706" max="8706" width="12.5703125" style="59" customWidth="1"/>
    <col min="8707" max="8707" width="11.42578125" style="59" customWidth="1"/>
    <col min="8708" max="8708" width="15.5703125" style="59" customWidth="1"/>
    <col min="8709" max="8960" width="9.140625" style="59"/>
    <col min="8961" max="8961" width="13.28515625" style="59" customWidth="1"/>
    <col min="8962" max="8962" width="12.5703125" style="59" customWidth="1"/>
    <col min="8963" max="8963" width="11.42578125" style="59" customWidth="1"/>
    <col min="8964" max="8964" width="15.5703125" style="59" customWidth="1"/>
    <col min="8965" max="9216" width="9.140625" style="59"/>
    <col min="9217" max="9217" width="13.28515625" style="59" customWidth="1"/>
    <col min="9218" max="9218" width="12.5703125" style="59" customWidth="1"/>
    <col min="9219" max="9219" width="11.42578125" style="59" customWidth="1"/>
    <col min="9220" max="9220" width="15.5703125" style="59" customWidth="1"/>
    <col min="9221" max="9472" width="9.140625" style="59"/>
    <col min="9473" max="9473" width="13.28515625" style="59" customWidth="1"/>
    <col min="9474" max="9474" width="12.5703125" style="59" customWidth="1"/>
    <col min="9475" max="9475" width="11.42578125" style="59" customWidth="1"/>
    <col min="9476" max="9476" width="15.5703125" style="59" customWidth="1"/>
    <col min="9477" max="9728" width="9.140625" style="59"/>
    <col min="9729" max="9729" width="13.28515625" style="59" customWidth="1"/>
    <col min="9730" max="9730" width="12.5703125" style="59" customWidth="1"/>
    <col min="9731" max="9731" width="11.42578125" style="59" customWidth="1"/>
    <col min="9732" max="9732" width="15.5703125" style="59" customWidth="1"/>
    <col min="9733" max="9984" width="9.140625" style="59"/>
    <col min="9985" max="9985" width="13.28515625" style="59" customWidth="1"/>
    <col min="9986" max="9986" width="12.5703125" style="59" customWidth="1"/>
    <col min="9987" max="9987" width="11.42578125" style="59" customWidth="1"/>
    <col min="9988" max="9988" width="15.5703125" style="59" customWidth="1"/>
    <col min="9989" max="10240" width="9.140625" style="59"/>
    <col min="10241" max="10241" width="13.28515625" style="59" customWidth="1"/>
    <col min="10242" max="10242" width="12.5703125" style="59" customWidth="1"/>
    <col min="10243" max="10243" width="11.42578125" style="59" customWidth="1"/>
    <col min="10244" max="10244" width="15.5703125" style="59" customWidth="1"/>
    <col min="10245" max="10496" width="9.140625" style="59"/>
    <col min="10497" max="10497" width="13.28515625" style="59" customWidth="1"/>
    <col min="10498" max="10498" width="12.5703125" style="59" customWidth="1"/>
    <col min="10499" max="10499" width="11.42578125" style="59" customWidth="1"/>
    <col min="10500" max="10500" width="15.5703125" style="59" customWidth="1"/>
    <col min="10501" max="10752" width="9.140625" style="59"/>
    <col min="10753" max="10753" width="13.28515625" style="59" customWidth="1"/>
    <col min="10754" max="10754" width="12.5703125" style="59" customWidth="1"/>
    <col min="10755" max="10755" width="11.42578125" style="59" customWidth="1"/>
    <col min="10756" max="10756" width="15.5703125" style="59" customWidth="1"/>
    <col min="10757" max="11008" width="9.140625" style="59"/>
    <col min="11009" max="11009" width="13.28515625" style="59" customWidth="1"/>
    <col min="11010" max="11010" width="12.5703125" style="59" customWidth="1"/>
    <col min="11011" max="11011" width="11.42578125" style="59" customWidth="1"/>
    <col min="11012" max="11012" width="15.5703125" style="59" customWidth="1"/>
    <col min="11013" max="11264" width="9.140625" style="59"/>
    <col min="11265" max="11265" width="13.28515625" style="59" customWidth="1"/>
    <col min="11266" max="11266" width="12.5703125" style="59" customWidth="1"/>
    <col min="11267" max="11267" width="11.42578125" style="59" customWidth="1"/>
    <col min="11268" max="11268" width="15.5703125" style="59" customWidth="1"/>
    <col min="11269" max="11520" width="9.140625" style="59"/>
    <col min="11521" max="11521" width="13.28515625" style="59" customWidth="1"/>
    <col min="11522" max="11522" width="12.5703125" style="59" customWidth="1"/>
    <col min="11523" max="11523" width="11.42578125" style="59" customWidth="1"/>
    <col min="11524" max="11524" width="15.5703125" style="59" customWidth="1"/>
    <col min="11525" max="11776" width="9.140625" style="59"/>
    <col min="11777" max="11777" width="13.28515625" style="59" customWidth="1"/>
    <col min="11778" max="11778" width="12.5703125" style="59" customWidth="1"/>
    <col min="11779" max="11779" width="11.42578125" style="59" customWidth="1"/>
    <col min="11780" max="11780" width="15.5703125" style="59" customWidth="1"/>
    <col min="11781" max="12032" width="9.140625" style="59"/>
    <col min="12033" max="12033" width="13.28515625" style="59" customWidth="1"/>
    <col min="12034" max="12034" width="12.5703125" style="59" customWidth="1"/>
    <col min="12035" max="12035" width="11.42578125" style="59" customWidth="1"/>
    <col min="12036" max="12036" width="15.5703125" style="59" customWidth="1"/>
    <col min="12037" max="12288" width="9.140625" style="59"/>
    <col min="12289" max="12289" width="13.28515625" style="59" customWidth="1"/>
    <col min="12290" max="12290" width="12.5703125" style="59" customWidth="1"/>
    <col min="12291" max="12291" width="11.42578125" style="59" customWidth="1"/>
    <col min="12292" max="12292" width="15.5703125" style="59" customWidth="1"/>
    <col min="12293" max="12544" width="9.140625" style="59"/>
    <col min="12545" max="12545" width="13.28515625" style="59" customWidth="1"/>
    <col min="12546" max="12546" width="12.5703125" style="59" customWidth="1"/>
    <col min="12547" max="12547" width="11.42578125" style="59" customWidth="1"/>
    <col min="12548" max="12548" width="15.5703125" style="59" customWidth="1"/>
    <col min="12549" max="12800" width="9.140625" style="59"/>
    <col min="12801" max="12801" width="13.28515625" style="59" customWidth="1"/>
    <col min="12802" max="12802" width="12.5703125" style="59" customWidth="1"/>
    <col min="12803" max="12803" width="11.42578125" style="59" customWidth="1"/>
    <col min="12804" max="12804" width="15.5703125" style="59" customWidth="1"/>
    <col min="12805" max="13056" width="9.140625" style="59"/>
    <col min="13057" max="13057" width="13.28515625" style="59" customWidth="1"/>
    <col min="13058" max="13058" width="12.5703125" style="59" customWidth="1"/>
    <col min="13059" max="13059" width="11.42578125" style="59" customWidth="1"/>
    <col min="13060" max="13060" width="15.5703125" style="59" customWidth="1"/>
    <col min="13061" max="13312" width="9.140625" style="59"/>
    <col min="13313" max="13313" width="13.28515625" style="59" customWidth="1"/>
    <col min="13314" max="13314" width="12.5703125" style="59" customWidth="1"/>
    <col min="13315" max="13315" width="11.42578125" style="59" customWidth="1"/>
    <col min="13316" max="13316" width="15.5703125" style="59" customWidth="1"/>
    <col min="13317" max="13568" width="9.140625" style="59"/>
    <col min="13569" max="13569" width="13.28515625" style="59" customWidth="1"/>
    <col min="13570" max="13570" width="12.5703125" style="59" customWidth="1"/>
    <col min="13571" max="13571" width="11.42578125" style="59" customWidth="1"/>
    <col min="13572" max="13572" width="15.5703125" style="59" customWidth="1"/>
    <col min="13573" max="13824" width="9.140625" style="59"/>
    <col min="13825" max="13825" width="13.28515625" style="59" customWidth="1"/>
    <col min="13826" max="13826" width="12.5703125" style="59" customWidth="1"/>
    <col min="13827" max="13827" width="11.42578125" style="59" customWidth="1"/>
    <col min="13828" max="13828" width="15.5703125" style="59" customWidth="1"/>
    <col min="13829" max="14080" width="9.140625" style="59"/>
    <col min="14081" max="14081" width="13.28515625" style="59" customWidth="1"/>
    <col min="14082" max="14082" width="12.5703125" style="59" customWidth="1"/>
    <col min="14083" max="14083" width="11.42578125" style="59" customWidth="1"/>
    <col min="14084" max="14084" width="15.5703125" style="59" customWidth="1"/>
    <col min="14085" max="14336" width="9.140625" style="59"/>
    <col min="14337" max="14337" width="13.28515625" style="59" customWidth="1"/>
    <col min="14338" max="14338" width="12.5703125" style="59" customWidth="1"/>
    <col min="14339" max="14339" width="11.42578125" style="59" customWidth="1"/>
    <col min="14340" max="14340" width="15.5703125" style="59" customWidth="1"/>
    <col min="14341" max="14592" width="9.140625" style="59"/>
    <col min="14593" max="14593" width="13.28515625" style="59" customWidth="1"/>
    <col min="14594" max="14594" width="12.5703125" style="59" customWidth="1"/>
    <col min="14595" max="14595" width="11.42578125" style="59" customWidth="1"/>
    <col min="14596" max="14596" width="15.5703125" style="59" customWidth="1"/>
    <col min="14597" max="14848" width="9.140625" style="59"/>
    <col min="14849" max="14849" width="13.28515625" style="59" customWidth="1"/>
    <col min="14850" max="14850" width="12.5703125" style="59" customWidth="1"/>
    <col min="14851" max="14851" width="11.42578125" style="59" customWidth="1"/>
    <col min="14852" max="14852" width="15.5703125" style="59" customWidth="1"/>
    <col min="14853" max="15104" width="9.140625" style="59"/>
    <col min="15105" max="15105" width="13.28515625" style="59" customWidth="1"/>
    <col min="15106" max="15106" width="12.5703125" style="59" customWidth="1"/>
    <col min="15107" max="15107" width="11.42578125" style="59" customWidth="1"/>
    <col min="15108" max="15108" width="15.5703125" style="59" customWidth="1"/>
    <col min="15109" max="15360" width="9.140625" style="59"/>
    <col min="15361" max="15361" width="13.28515625" style="59" customWidth="1"/>
    <col min="15362" max="15362" width="12.5703125" style="59" customWidth="1"/>
    <col min="15363" max="15363" width="11.42578125" style="59" customWidth="1"/>
    <col min="15364" max="15364" width="15.5703125" style="59" customWidth="1"/>
    <col min="15365" max="15616" width="9.140625" style="59"/>
    <col min="15617" max="15617" width="13.28515625" style="59" customWidth="1"/>
    <col min="15618" max="15618" width="12.5703125" style="59" customWidth="1"/>
    <col min="15619" max="15619" width="11.42578125" style="59" customWidth="1"/>
    <col min="15620" max="15620" width="15.5703125" style="59" customWidth="1"/>
    <col min="15621" max="15872" width="9.140625" style="59"/>
    <col min="15873" max="15873" width="13.28515625" style="59" customWidth="1"/>
    <col min="15874" max="15874" width="12.5703125" style="59" customWidth="1"/>
    <col min="15875" max="15875" width="11.42578125" style="59" customWidth="1"/>
    <col min="15876" max="15876" width="15.5703125" style="59" customWidth="1"/>
    <col min="15877" max="16128" width="9.140625" style="59"/>
    <col min="16129" max="16129" width="13.28515625" style="59" customWidth="1"/>
    <col min="16130" max="16130" width="12.5703125" style="59" customWidth="1"/>
    <col min="16131" max="16131" width="11.42578125" style="59" customWidth="1"/>
    <col min="16132" max="16132" width="15.5703125" style="59" customWidth="1"/>
    <col min="16133" max="16384" width="9.140625" style="59"/>
  </cols>
  <sheetData>
    <row r="1" spans="1:5" ht="15" customHeight="1">
      <c r="A1" s="263" t="s">
        <v>147</v>
      </c>
      <c r="B1" s="263"/>
      <c r="C1" s="263"/>
      <c r="D1" s="263"/>
      <c r="E1" s="244">
        <v>1000</v>
      </c>
    </row>
    <row r="2" spans="1:5">
      <c r="D2" s="98"/>
    </row>
    <row r="3" spans="1:5" ht="12.75">
      <c r="A3" s="89" t="s">
        <v>127</v>
      </c>
      <c r="B3" s="89" t="s">
        <v>128</v>
      </c>
      <c r="C3" s="89" t="s">
        <v>129</v>
      </c>
      <c r="D3" s="90" t="s">
        <v>130</v>
      </c>
      <c r="E3" s="90" t="s">
        <v>130</v>
      </c>
    </row>
    <row r="4" spans="1:5">
      <c r="A4" s="91" t="s">
        <v>131</v>
      </c>
      <c r="B4" s="91"/>
      <c r="C4" s="91"/>
      <c r="D4" s="92"/>
      <c r="E4" s="92"/>
    </row>
    <row r="5" spans="1:5">
      <c r="A5" s="65" t="s">
        <v>132</v>
      </c>
      <c r="B5" s="65">
        <v>90.5</v>
      </c>
      <c r="C5" s="65">
        <v>97</v>
      </c>
      <c r="D5" s="93">
        <f>1630000000*0.93</f>
        <v>1515900000</v>
      </c>
      <c r="E5" s="93">
        <f>D5/$E$1</f>
        <v>1515900</v>
      </c>
    </row>
    <row r="6" spans="1:5">
      <c r="A6" s="65" t="s">
        <v>133</v>
      </c>
      <c r="B6" s="65">
        <v>90.5</v>
      </c>
      <c r="C6" s="65">
        <v>97</v>
      </c>
      <c r="D6" s="93">
        <f>1630000000*0.93</f>
        <v>1515900000</v>
      </c>
      <c r="E6" s="93">
        <f t="shared" ref="E6:E17" si="0">D6/$E$1</f>
        <v>1515900</v>
      </c>
    </row>
    <row r="7" spans="1:5">
      <c r="A7" s="65" t="s">
        <v>134</v>
      </c>
      <c r="B7" s="65">
        <v>90.5</v>
      </c>
      <c r="C7" s="65">
        <v>97</v>
      </c>
      <c r="D7" s="93">
        <f>1639000000*0.93</f>
        <v>1524270000</v>
      </c>
      <c r="E7" s="93">
        <f t="shared" si="0"/>
        <v>1524270</v>
      </c>
    </row>
    <row r="8" spans="1:5">
      <c r="A8" s="65" t="s">
        <v>135</v>
      </c>
      <c r="B8" s="65">
        <v>90.5</v>
      </c>
      <c r="C8" s="65">
        <v>97</v>
      </c>
      <c r="D8" s="93">
        <f>1678000000*0.93</f>
        <v>1560540000</v>
      </c>
      <c r="E8" s="93">
        <f t="shared" si="0"/>
        <v>1560540</v>
      </c>
    </row>
    <row r="9" spans="1:5">
      <c r="A9" s="65" t="s">
        <v>136</v>
      </c>
      <c r="B9" s="65">
        <v>90.5</v>
      </c>
      <c r="C9" s="65">
        <v>97</v>
      </c>
      <c r="D9" s="93">
        <f>1688000000*0.93</f>
        <v>1569840000</v>
      </c>
      <c r="E9" s="93">
        <f t="shared" si="0"/>
        <v>1569840</v>
      </c>
    </row>
    <row r="10" spans="1:5">
      <c r="A10" s="65" t="s">
        <v>137</v>
      </c>
      <c r="B10" s="65">
        <v>86.2</v>
      </c>
      <c r="C10" s="65">
        <v>92.8</v>
      </c>
      <c r="D10" s="93">
        <f>1708000000*0.93</f>
        <v>1588440000</v>
      </c>
      <c r="E10" s="93">
        <f t="shared" si="0"/>
        <v>1588440</v>
      </c>
    </row>
    <row r="11" spans="1:5">
      <c r="A11" s="65" t="s">
        <v>138</v>
      </c>
      <c r="B11" s="65">
        <v>95.9</v>
      </c>
      <c r="C11" s="65">
        <v>102.8</v>
      </c>
      <c r="D11" s="93">
        <f>2149000000*0.93</f>
        <v>1998570000</v>
      </c>
      <c r="E11" s="93">
        <f t="shared" si="0"/>
        <v>1998570</v>
      </c>
    </row>
    <row r="12" spans="1:5">
      <c r="A12" s="65" t="s">
        <v>139</v>
      </c>
      <c r="B12" s="65">
        <v>101.7</v>
      </c>
      <c r="C12" s="65">
        <v>110.3</v>
      </c>
      <c r="D12" s="93">
        <f>2261000000*0.93</f>
        <v>2102730000</v>
      </c>
      <c r="E12" s="93">
        <f t="shared" si="0"/>
        <v>2102730</v>
      </c>
    </row>
    <row r="13" spans="1:5">
      <c r="A13" s="68" t="s">
        <v>140</v>
      </c>
      <c r="B13" s="68"/>
      <c r="C13" s="68"/>
      <c r="D13" s="94">
        <f>SUM(D5:D12)</f>
        <v>13376190000</v>
      </c>
      <c r="E13" s="247">
        <f>SUM(E5:E12)</f>
        <v>13376190</v>
      </c>
    </row>
    <row r="14" spans="1:5">
      <c r="A14" s="65" t="s">
        <v>141</v>
      </c>
      <c r="B14" s="65"/>
      <c r="C14" s="65"/>
      <c r="D14" s="93"/>
      <c r="E14" s="93">
        <f t="shared" si="0"/>
        <v>0</v>
      </c>
    </row>
    <row r="15" spans="1:5">
      <c r="A15" s="95" t="s">
        <v>142</v>
      </c>
      <c r="B15" s="65"/>
      <c r="C15" s="65">
        <v>128.72999999999999</v>
      </c>
      <c r="D15" s="93">
        <f>3133000000*0.93</f>
        <v>2913690000</v>
      </c>
      <c r="E15" s="93">
        <f t="shared" si="0"/>
        <v>2913690</v>
      </c>
    </row>
    <row r="16" spans="1:5">
      <c r="A16" s="95" t="s">
        <v>143</v>
      </c>
      <c r="B16" s="65"/>
      <c r="C16" s="65">
        <v>324.36</v>
      </c>
      <c r="D16" s="93">
        <f>7556000000*0.93</f>
        <v>7027080000</v>
      </c>
      <c r="E16" s="93">
        <f t="shared" si="0"/>
        <v>7027080</v>
      </c>
    </row>
    <row r="17" spans="1:5">
      <c r="A17" s="95" t="s">
        <v>144</v>
      </c>
      <c r="B17" s="65"/>
      <c r="C17" s="65">
        <v>269.94</v>
      </c>
      <c r="D17" s="93">
        <f>6457000000*0.93</f>
        <v>6005010000</v>
      </c>
      <c r="E17" s="93">
        <f t="shared" si="0"/>
        <v>6005010</v>
      </c>
    </row>
    <row r="18" spans="1:5">
      <c r="A18" s="96" t="s">
        <v>140</v>
      </c>
      <c r="B18" s="96"/>
      <c r="C18" s="96"/>
      <c r="D18" s="97">
        <f>SUM(D15:D17)</f>
        <v>15945780000</v>
      </c>
      <c r="E18" s="248">
        <f>SUM(E15:E17)</f>
        <v>15945780</v>
      </c>
    </row>
    <row r="19" spans="1:5" ht="12.75">
      <c r="D19" s="87">
        <f>D13+D18</f>
        <v>29321970000</v>
      </c>
      <c r="E19" s="87">
        <f>E13+E18</f>
        <v>29321970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"/>
  <sheetViews>
    <sheetView tabSelected="1" topLeftCell="A13" workbookViewId="0">
      <selection activeCell="F31" sqref="F31"/>
    </sheetView>
  </sheetViews>
  <sheetFormatPr defaultRowHeight="15.75"/>
  <cols>
    <col min="1" max="1" width="7" style="220" customWidth="1"/>
    <col min="2" max="2" width="18" style="220" customWidth="1"/>
    <col min="3" max="3" width="20.5703125" style="221" customWidth="1"/>
    <col min="4" max="4" width="28.28515625" style="221" customWidth="1"/>
    <col min="5" max="5" width="19.85546875" style="221" customWidth="1"/>
    <col min="6" max="6" width="20.85546875" style="220" customWidth="1"/>
    <col min="7" max="7" width="16.28515625" style="220" customWidth="1"/>
    <col min="8" max="8" width="9.140625" style="220"/>
    <col min="9" max="9" width="12.140625" style="220" customWidth="1"/>
    <col min="10" max="16384" width="9.140625" style="220"/>
  </cols>
  <sheetData>
    <row r="1" spans="1:6">
      <c r="A1" s="266" t="s">
        <v>223</v>
      </c>
      <c r="B1" s="266"/>
      <c r="C1" s="266"/>
      <c r="D1" s="266"/>
      <c r="E1" s="266"/>
      <c r="F1" s="267"/>
    </row>
    <row r="2" spans="1:6">
      <c r="F2" s="246"/>
    </row>
    <row r="3" spans="1:6">
      <c r="A3" s="223" t="s">
        <v>149</v>
      </c>
      <c r="B3" s="223" t="s">
        <v>187</v>
      </c>
      <c r="C3" s="224">
        <v>2016</v>
      </c>
      <c r="D3" s="224" t="s">
        <v>155</v>
      </c>
      <c r="E3" s="224">
        <v>2015</v>
      </c>
      <c r="F3" s="224" t="s">
        <v>188</v>
      </c>
    </row>
    <row r="4" spans="1:6">
      <c r="A4" s="225">
        <v>1</v>
      </c>
      <c r="B4" s="225" t="s">
        <v>5</v>
      </c>
      <c r="C4" s="226">
        <f>SUM(C5:C8)</f>
        <v>334907131.11549997</v>
      </c>
      <c r="D4" s="226"/>
      <c r="E4" s="226">
        <f>SUM(E5:E8)</f>
        <v>244393866</v>
      </c>
      <c r="F4" s="227">
        <f>(C4-E4)/E4</f>
        <v>0.37035817059131909</v>
      </c>
    </row>
    <row r="5" spans="1:6">
      <c r="A5" s="228"/>
      <c r="B5" s="229" t="s">
        <v>181</v>
      </c>
      <c r="C5" s="222">
        <f>D31</f>
        <v>236341131.11549997</v>
      </c>
      <c r="D5" s="222"/>
      <c r="E5" s="222">
        <v>224125321</v>
      </c>
      <c r="F5" s="230"/>
    </row>
    <row r="6" spans="1:6">
      <c r="A6" s="228"/>
      <c r="B6" s="229" t="s">
        <v>176</v>
      </c>
      <c r="C6" s="222">
        <f>XL!D12</f>
        <v>84766000</v>
      </c>
      <c r="D6" s="222"/>
      <c r="E6" s="222"/>
      <c r="F6" s="230"/>
    </row>
    <row r="7" spans="1:6">
      <c r="A7" s="228"/>
      <c r="B7" s="229" t="s">
        <v>189</v>
      </c>
      <c r="C7" s="222">
        <f>CapNuoc!M11</f>
        <v>7000000</v>
      </c>
      <c r="D7" s="222"/>
      <c r="E7" s="222"/>
      <c r="F7" s="230"/>
    </row>
    <row r="8" spans="1:6">
      <c r="A8" s="228"/>
      <c r="B8" s="229" t="s">
        <v>190</v>
      </c>
      <c r="C8" s="222">
        <f>1700000*4</f>
        <v>6800000</v>
      </c>
      <c r="D8" s="222" t="s">
        <v>216</v>
      </c>
      <c r="E8" s="222">
        <f>499840+9202370+10566335</f>
        <v>20268545</v>
      </c>
      <c r="F8" s="230"/>
    </row>
    <row r="9" spans="1:6">
      <c r="A9" s="228">
        <v>2</v>
      </c>
      <c r="B9" s="228" t="s">
        <v>191</v>
      </c>
      <c r="C9" s="231">
        <f>C33</f>
        <v>248079000.54407501</v>
      </c>
      <c r="D9" s="231"/>
      <c r="E9" s="231">
        <f>142576088+16722547+342833+5110056+194584</f>
        <v>164946108</v>
      </c>
      <c r="F9" s="232">
        <f t="shared" ref="F9:F12" si="0">(C9-E9)/E9</f>
        <v>0.50400032805911987</v>
      </c>
    </row>
    <row r="10" spans="1:6">
      <c r="A10" s="228">
        <v>3</v>
      </c>
      <c r="B10" s="228" t="s">
        <v>192</v>
      </c>
      <c r="C10" s="231">
        <f>C4-C9</f>
        <v>86828130.571424961</v>
      </c>
      <c r="D10" s="231"/>
      <c r="E10" s="231">
        <f>E4-E9</f>
        <v>79447758</v>
      </c>
      <c r="F10" s="232">
        <f t="shared" si="0"/>
        <v>9.2895920000976753E-2</v>
      </c>
    </row>
    <row r="11" spans="1:6">
      <c r="A11" s="228">
        <v>4</v>
      </c>
      <c r="B11" s="228" t="s">
        <v>193</v>
      </c>
      <c r="C11" s="231">
        <f>C10*0.2</f>
        <v>17365626.114284992</v>
      </c>
      <c r="D11" s="231"/>
      <c r="E11" s="231">
        <v>19332885</v>
      </c>
      <c r="F11" s="232">
        <f t="shared" si="0"/>
        <v>-0.1017571296635245</v>
      </c>
    </row>
    <row r="12" spans="1:6">
      <c r="A12" s="233">
        <v>5</v>
      </c>
      <c r="B12" s="233" t="s">
        <v>194</v>
      </c>
      <c r="C12" s="234">
        <f>C10-C11</f>
        <v>69462504.457139969</v>
      </c>
      <c r="D12" s="234"/>
      <c r="E12" s="234">
        <f>E10-E11</f>
        <v>60114873</v>
      </c>
      <c r="F12" s="235">
        <f t="shared" si="0"/>
        <v>0.1554961524603066</v>
      </c>
    </row>
    <row r="14" spans="1:6">
      <c r="B14" s="268" t="s">
        <v>210</v>
      </c>
      <c r="C14" s="236"/>
      <c r="D14" s="236"/>
    </row>
    <row r="15" spans="1:6">
      <c r="B15" s="269" t="s">
        <v>211</v>
      </c>
      <c r="C15" s="236"/>
      <c r="D15" s="236"/>
    </row>
    <row r="16" spans="1:6">
      <c r="B16" s="269" t="s">
        <v>212</v>
      </c>
      <c r="C16" s="236"/>
      <c r="D16" s="236"/>
    </row>
    <row r="17" spans="2:6">
      <c r="B17" s="269" t="s">
        <v>227</v>
      </c>
      <c r="C17" s="236"/>
      <c r="D17" s="236"/>
    </row>
    <row r="18" spans="2:6">
      <c r="B18" s="269" t="s">
        <v>213</v>
      </c>
      <c r="C18" s="236"/>
      <c r="D18" s="236"/>
    </row>
    <row r="19" spans="2:6">
      <c r="C19" s="236"/>
      <c r="D19" s="236"/>
    </row>
    <row r="20" spans="2:6">
      <c r="C20" s="221" t="s">
        <v>195</v>
      </c>
      <c r="D20" s="221" t="s">
        <v>196</v>
      </c>
      <c r="E20" s="221" t="s">
        <v>197</v>
      </c>
    </row>
    <row r="21" spans="2:6">
      <c r="B21" s="237" t="s">
        <v>198</v>
      </c>
      <c r="C21" s="238">
        <f>'Dat nen'!J93</f>
        <v>111016360.16499999</v>
      </c>
      <c r="D21" s="238">
        <f>SUM(D22:D24)</f>
        <v>77711452.115499988</v>
      </c>
      <c r="E21" s="238">
        <f>SUM(E22:E24)</f>
        <v>33829830.655074999</v>
      </c>
    </row>
    <row r="22" spans="2:6">
      <c r="B22" s="239" t="s">
        <v>220</v>
      </c>
      <c r="C22" s="240">
        <f>'Dat nen'!C96</f>
        <v>74351276.164999992</v>
      </c>
      <c r="D22" s="240">
        <f>C22*0.7</f>
        <v>52045893.315499991</v>
      </c>
      <c r="E22" s="240">
        <f>D22*0.65</f>
        <v>33829830.655074999</v>
      </c>
    </row>
    <row r="23" spans="2:6">
      <c r="B23" s="239" t="s">
        <v>221</v>
      </c>
      <c r="C23" s="240">
        <f>'Dat nen'!C97</f>
        <v>8310573</v>
      </c>
      <c r="D23" s="240">
        <f t="shared" ref="D23:D24" si="1">C23*0.7</f>
        <v>5817401.0999999996</v>
      </c>
      <c r="E23" s="240"/>
      <c r="F23" s="220" t="s">
        <v>222</v>
      </c>
    </row>
    <row r="24" spans="2:6">
      <c r="B24" s="239" t="s">
        <v>219</v>
      </c>
      <c r="C24" s="240">
        <f>'Dat nen'!C95</f>
        <v>28354511</v>
      </c>
      <c r="D24" s="240">
        <f t="shared" si="1"/>
        <v>19848157.699999999</v>
      </c>
      <c r="E24" s="240"/>
      <c r="F24" s="220" t="s">
        <v>222</v>
      </c>
    </row>
    <row r="25" spans="2:6">
      <c r="B25" s="237" t="s">
        <v>199</v>
      </c>
      <c r="C25" s="238">
        <f>SUM(C26:C28)</f>
        <v>63442000</v>
      </c>
      <c r="D25" s="238">
        <f>SUM(D26:D28)</f>
        <v>63442000</v>
      </c>
      <c r="E25" s="238">
        <f>SUM(E26:E28)</f>
        <v>40586623.538999997</v>
      </c>
      <c r="F25" s="241"/>
    </row>
    <row r="26" spans="2:6">
      <c r="B26" s="220" t="s">
        <v>200</v>
      </c>
      <c r="C26" s="221">
        <v>16200000</v>
      </c>
      <c r="D26" s="221">
        <f>C26</f>
        <v>16200000</v>
      </c>
      <c r="E26" s="221">
        <v>8492749.7960000001</v>
      </c>
      <c r="F26" s="264" t="s">
        <v>215</v>
      </c>
    </row>
    <row r="27" spans="2:6">
      <c r="B27" s="220" t="s">
        <v>201</v>
      </c>
      <c r="C27" s="221">
        <v>29842000</v>
      </c>
      <c r="D27" s="221">
        <f>C27</f>
        <v>29842000</v>
      </c>
      <c r="E27" s="221">
        <v>16306498.766000001</v>
      </c>
      <c r="F27" s="264"/>
    </row>
    <row r="28" spans="2:6">
      <c r="B28" s="220" t="s">
        <v>202</v>
      </c>
      <c r="C28" s="221">
        <v>17400000</v>
      </c>
      <c r="D28" s="221">
        <f>C28</f>
        <v>17400000</v>
      </c>
      <c r="E28" s="221">
        <v>15787374.977</v>
      </c>
      <c r="F28" s="264"/>
    </row>
    <row r="29" spans="2:6">
      <c r="B29" s="237" t="s">
        <v>226</v>
      </c>
      <c r="C29" s="238">
        <f>'Can Ho'!E19</f>
        <v>29321970</v>
      </c>
      <c r="D29" s="238">
        <f>C29*0.7</f>
        <v>20525379</v>
      </c>
      <c r="E29" s="238">
        <f>D29*0.65</f>
        <v>13341496.35</v>
      </c>
    </row>
    <row r="30" spans="2:6">
      <c r="B30" s="237" t="s">
        <v>203</v>
      </c>
      <c r="C30" s="238"/>
      <c r="D30" s="238">
        <f>BDS!J12</f>
        <v>74662300</v>
      </c>
      <c r="E30" s="238">
        <f>D30*0.7</f>
        <v>52263610</v>
      </c>
      <c r="F30" s="221"/>
    </row>
    <row r="31" spans="2:6">
      <c r="B31" s="237" t="s">
        <v>204</v>
      </c>
      <c r="C31" s="238">
        <f>C21+C25+C29</f>
        <v>203780330.16499999</v>
      </c>
      <c r="D31" s="238">
        <f>D29+D25+D21+D30</f>
        <v>236341131.11549997</v>
      </c>
      <c r="E31" s="238">
        <f>E29+E25+E21+E30</f>
        <v>140021560.54407501</v>
      </c>
      <c r="F31" s="221"/>
    </row>
    <row r="32" spans="2:6">
      <c r="F32" s="221"/>
    </row>
    <row r="33" spans="1:6">
      <c r="B33" s="237" t="s">
        <v>205</v>
      </c>
      <c r="C33" s="238">
        <f>C34+C38+C39+C40</f>
        <v>248079000.54407501</v>
      </c>
    </row>
    <row r="34" spans="1:6">
      <c r="B34" s="220" t="s">
        <v>197</v>
      </c>
      <c r="C34" s="221">
        <f>SUM(C35:C37)</f>
        <v>229244580.54407501</v>
      </c>
    </row>
    <row r="35" spans="1:6">
      <c r="B35" s="239" t="s">
        <v>181</v>
      </c>
      <c r="C35" s="240">
        <f>E31</f>
        <v>140021560.54407501</v>
      </c>
    </row>
    <row r="36" spans="1:6">
      <c r="B36" s="239" t="s">
        <v>206</v>
      </c>
      <c r="C36" s="240">
        <f>C6*0.97</f>
        <v>82223020</v>
      </c>
      <c r="E36" s="236"/>
    </row>
    <row r="37" spans="1:6">
      <c r="B37" s="239" t="s">
        <v>189</v>
      </c>
      <c r="C37" s="240">
        <f>C7</f>
        <v>7000000</v>
      </c>
    </row>
    <row r="38" spans="1:6" ht="36" customHeight="1">
      <c r="A38" s="242"/>
      <c r="B38" s="242" t="s">
        <v>207</v>
      </c>
      <c r="C38" s="243">
        <f>D25*0.01</f>
        <v>634420</v>
      </c>
      <c r="D38" s="265" t="s">
        <v>214</v>
      </c>
      <c r="E38" s="265"/>
      <c r="F38" s="265"/>
    </row>
    <row r="39" spans="1:6">
      <c r="B39" s="220" t="s">
        <v>208</v>
      </c>
      <c r="C39" s="221">
        <f>500000*4</f>
        <v>2000000</v>
      </c>
      <c r="D39" s="221" t="s">
        <v>218</v>
      </c>
    </row>
    <row r="40" spans="1:6">
      <c r="B40" s="220" t="s">
        <v>209</v>
      </c>
      <c r="C40" s="221">
        <f>16000000+(50000*4)</f>
        <v>16200000</v>
      </c>
      <c r="D40" s="221" t="s">
        <v>224</v>
      </c>
    </row>
  </sheetData>
  <mergeCells count="3">
    <mergeCell ref="F26:F28"/>
    <mergeCell ref="D38:F38"/>
    <mergeCell ref="A1:F1"/>
  </mergeCells>
  <pageMargins left="0.7" right="0.7" top="0.32" bottom="0.18" header="0.3" footer="0.2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XL</vt:lpstr>
      <vt:lpstr>CapNuoc</vt:lpstr>
      <vt:lpstr>BDS</vt:lpstr>
      <vt:lpstr>Dat nen</vt:lpstr>
      <vt:lpstr>Can Ho</vt:lpstr>
      <vt:lpstr>KH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2016-05-03T09:21:56Z</cp:lastPrinted>
  <dcterms:created xsi:type="dcterms:W3CDTF">2016-05-03T08:42:29Z</dcterms:created>
  <dcterms:modified xsi:type="dcterms:W3CDTF">2016-05-03T10:16:18Z</dcterms:modified>
</cp:coreProperties>
</file>