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updateLinks="never" codeName="ThisWorkbook"/>
  <mc:AlternateContent xmlns:mc="http://schemas.openxmlformats.org/markup-compatibility/2006">
    <mc:Choice Requires="x15">
      <x15ac:absPath xmlns:x15ac="http://schemas.microsoft.com/office/spreadsheetml/2010/11/ac" url="D:\1. CONG VIEC LCDI\CV 2022\4. QUAN NGO QUYEN\2. NGO 33 NGO QUYEN\2. THIET KE BVTC\1. THIET KE\1. BAN VE\"/>
    </mc:Choice>
  </mc:AlternateContent>
  <bookViews>
    <workbookView xWindow="0" yWindow="0" windowWidth="20730" windowHeight="11760" firstSheet="1" activeTab="1"/>
  </bookViews>
  <sheets>
    <sheet name="foxz" sheetId="2" state="veryHidden" r:id="rId1"/>
    <sheet name="TONG HOP" sheetId="1" r:id="rId2"/>
    <sheet name="BANG KL NEN MAT NGO" sheetId="3" r:id="rId3"/>
  </sheets>
  <definedNames>
    <definedName name="_xlnm.Print_Area" localSheetId="1">'TONG HOP'!$A$1:$E$77</definedName>
  </definedNames>
  <calcPr calcId="152511"/>
</workbook>
</file>

<file path=xl/calcChain.xml><?xml version="1.0" encoding="utf-8"?>
<calcChain xmlns="http://schemas.openxmlformats.org/spreadsheetml/2006/main">
  <c r="D29" i="1" l="1"/>
  <c r="D14" i="3" l="1"/>
  <c r="D12" i="3"/>
  <c r="D8" i="3"/>
  <c r="D6" i="3"/>
  <c r="D88" i="1" l="1"/>
  <c r="D84" i="1"/>
  <c r="D46" i="1" l="1"/>
  <c r="D81" i="1" l="1"/>
  <c r="D80" i="1"/>
  <c r="D77" i="1" l="1"/>
  <c r="D76" i="1"/>
  <c r="D75" i="1"/>
  <c r="D71" i="1"/>
  <c r="D70" i="1"/>
  <c r="D73" i="1"/>
  <c r="D74" i="1" s="1"/>
  <c r="D72" i="1"/>
  <c r="D67" i="1"/>
  <c r="D66" i="1"/>
  <c r="D65" i="1"/>
  <c r="D64" i="1"/>
  <c r="D63" i="1"/>
  <c r="D62" i="1"/>
  <c r="D61" i="1"/>
  <c r="D60" i="1"/>
  <c r="D49" i="1"/>
  <c r="D51" i="1" s="1"/>
  <c r="D53" i="1" l="1"/>
  <c r="D56" i="1"/>
  <c r="D55" i="1"/>
  <c r="D52" i="1"/>
  <c r="D57" i="1"/>
  <c r="D50" i="1"/>
  <c r="D45" i="1" l="1"/>
  <c r="D44" i="1"/>
  <c r="D42" i="1"/>
  <c r="D41" i="1"/>
  <c r="D40" i="1"/>
  <c r="D34" i="1" l="1"/>
  <c r="D32" i="1"/>
  <c r="D35" i="1" s="1"/>
  <c r="D36" i="1" s="1"/>
  <c r="D18" i="1"/>
  <c r="D21" i="1"/>
  <c r="D22" i="1" s="1"/>
  <c r="D23" i="1" s="1"/>
  <c r="D26" i="1"/>
  <c r="D6" i="1"/>
  <c r="D11" i="1" s="1"/>
  <c r="D17" i="1" s="1"/>
  <c r="H7" i="3"/>
  <c r="I7" i="3"/>
  <c r="J7" i="3"/>
  <c r="K7" i="3"/>
  <c r="H9" i="3"/>
  <c r="I9" i="3"/>
  <c r="J9" i="3"/>
  <c r="K9" i="3"/>
  <c r="H11" i="3"/>
  <c r="I11" i="3"/>
  <c r="J11" i="3"/>
  <c r="K11" i="3"/>
  <c r="H13" i="3"/>
  <c r="I13" i="3"/>
  <c r="J13" i="3"/>
  <c r="K13" i="3"/>
  <c r="H15" i="3"/>
  <c r="I15" i="3"/>
  <c r="J15" i="3"/>
  <c r="K15" i="3"/>
  <c r="H17" i="3"/>
  <c r="I17" i="3"/>
  <c r="J17" i="3"/>
  <c r="K17" i="3"/>
  <c r="H19" i="3"/>
  <c r="I19" i="3"/>
  <c r="J19" i="3"/>
  <c r="K19" i="3"/>
  <c r="H21" i="3"/>
  <c r="I21" i="3"/>
  <c r="J21" i="3"/>
  <c r="K21" i="3"/>
  <c r="H23" i="3"/>
  <c r="I23" i="3"/>
  <c r="J23" i="3"/>
  <c r="K23" i="3"/>
  <c r="H25" i="3"/>
  <c r="I25" i="3"/>
  <c r="J25" i="3"/>
  <c r="K25" i="3"/>
  <c r="J5" i="3"/>
  <c r="J27" i="3" s="1"/>
  <c r="D27" i="1" s="1"/>
  <c r="B27" i="3"/>
  <c r="D5" i="1" s="1"/>
  <c r="K5" i="3"/>
  <c r="I5" i="3"/>
  <c r="H5" i="3"/>
  <c r="D30" i="1" l="1"/>
  <c r="D31" i="1" s="1"/>
  <c r="D25" i="1"/>
  <c r="D24" i="1"/>
  <c r="D33" i="1"/>
  <c r="D13" i="1"/>
  <c r="I27" i="3"/>
  <c r="D20" i="1" s="1"/>
  <c r="K27" i="3"/>
  <c r="D28" i="1" s="1"/>
  <c r="H27" i="3"/>
  <c r="D19" i="1" s="1"/>
  <c r="H83" i="1" l="1"/>
  <c r="H84" i="1"/>
  <c r="H85" i="1"/>
  <c r="H86" i="1"/>
  <c r="H87" i="1"/>
  <c r="H88" i="1"/>
  <c r="H89" i="1"/>
  <c r="H90" i="1"/>
  <c r="G51" i="1"/>
  <c r="D4" i="1"/>
  <c r="H92" i="1" l="1"/>
  <c r="D14" i="1"/>
  <c r="D15" i="1" s="1"/>
  <c r="D16" i="1" s="1"/>
  <c r="D54" i="1"/>
</calcChain>
</file>

<file path=xl/sharedStrings.xml><?xml version="1.0" encoding="utf-8"?>
<sst xmlns="http://schemas.openxmlformats.org/spreadsheetml/2006/main" count="258" uniqueCount="155">
  <si>
    <t>STT</t>
  </si>
  <si>
    <t>Hạng mục công việc</t>
  </si>
  <si>
    <t>Đơn vị</t>
  </si>
  <si>
    <t>Khối lượng</t>
  </si>
  <si>
    <t>I</t>
  </si>
  <si>
    <t>m</t>
  </si>
  <si>
    <t>m2</t>
  </si>
  <si>
    <t>m3</t>
  </si>
  <si>
    <t>II</t>
  </si>
  <si>
    <t>cái</t>
  </si>
  <si>
    <t>Theo bảng tính</t>
  </si>
  <si>
    <t>Diễn giải</t>
  </si>
  <si>
    <t>Bình đồ TK</t>
  </si>
  <si>
    <t>HẠNG MỤC: NỀN MẶT NGÕ</t>
  </si>
  <si>
    <t>HẠNG MỤC: HỆ THỐNG THOÁT NƯỚC</t>
  </si>
  <si>
    <t>đốt</t>
  </si>
  <si>
    <t>0,31m2/m</t>
  </si>
  <si>
    <t>- Chiều dài tim tuyến cống D500:</t>
  </si>
  <si>
    <t>- Số đốt cống BTCT D500 (đốt cống dài 2m)</t>
  </si>
  <si>
    <t>- Gối cống D500</t>
  </si>
  <si>
    <t>03 gối cống/đốt cống dài 2m</t>
  </si>
  <si>
    <t>- Tổng chiều dài lớp lót móng cống</t>
  </si>
  <si>
    <t>- Diện tích lớp bê tông nhựa rải nóng BTN C12,5 sau lu lèn dày 5cm:</t>
  </si>
  <si>
    <t>- Diện tích lớp nhựa dính bám tiêu chuẩn 0,5 kg/m2:</t>
  </si>
  <si>
    <t>- Diện tích lớp nhựa thấm bám tiêu chuẩn 1,0 kg/m2:</t>
  </si>
  <si>
    <t>0,38m2/m</t>
  </si>
  <si>
    <t>- Gối cống D400</t>
  </si>
  <si>
    <t>0,26m2/m</t>
  </si>
  <si>
    <t>- Số đốt cống BTCT D400 (đốt cống dài 2m)</t>
  </si>
  <si>
    <t>- Chiều dài bó vỉa:</t>
  </si>
  <si>
    <t>viên</t>
  </si>
  <si>
    <t>BẢNG TÍNH KHỐI LƯỢNG NỀN MẶT NGÕ</t>
  </si>
  <si>
    <t>Tªn cäc</t>
  </si>
  <si>
    <t>K/c lÎ</t>
  </si>
  <si>
    <t>S ®µo khu«n ®­êng</t>
  </si>
  <si>
    <t>S bï vªnh CP§D lo¹i 1 nÒn ®­êng</t>
  </si>
  <si>
    <t>S §µo khu«n vØa hÌ</t>
  </si>
  <si>
    <t>S ®¾p ®Êt nói nÒn vØa hÌ</t>
  </si>
  <si>
    <t>V ®µo khu«n ®­êng</t>
  </si>
  <si>
    <t>V bï vªnh CPDD lo¹i 1 nÒn ®­êng</t>
  </si>
  <si>
    <t>V ®µo khu«n vØa hÌ</t>
  </si>
  <si>
    <t>V ®¾p ®Êt nói nÒn vØa hÌ</t>
  </si>
  <si>
    <t>(m)</t>
  </si>
  <si>
    <t>(m2)</t>
  </si>
  <si>
    <t>(m3)</t>
  </si>
  <si>
    <t>TD1</t>
  </si>
  <si>
    <t>P1</t>
  </si>
  <si>
    <t>TC1</t>
  </si>
  <si>
    <t>TD2</t>
  </si>
  <si>
    <t>P2</t>
  </si>
  <si>
    <t>TC2</t>
  </si>
  <si>
    <t>Tæng</t>
  </si>
  <si>
    <t>TD thiết kế</t>
  </si>
  <si>
    <t>Tổng chiều dài các tuyến ngõ AB:</t>
  </si>
  <si>
    <t>- Tuyến AB - kết cấu KC1:</t>
  </si>
  <si>
    <t>- Mở rộng 1 - kết cấu KC1:</t>
  </si>
  <si>
    <t>- Mở rộng 2 - kết cấu KC2:</t>
  </si>
  <si>
    <t>Tổng diện tích mặt ngõ tuyến AB (chưa trừ mặt hố ga... chiếm chỗ):</t>
  </si>
  <si>
    <t>Tổng diện tích mặt ngõ tuyến AB (đã trừ hố ga chiếm chỗ):</t>
  </si>
  <si>
    <t>Mặt ga chiếm chỗ: 0.85x0.85</t>
  </si>
  <si>
    <t>Đã trừ đan rãnh chiếm chỗ</t>
  </si>
  <si>
    <t>Gồm kết cấu KC1+KC2</t>
  </si>
  <si>
    <t>Khối lượng nền mặt ngõ, vỉa hè tuyến AB:</t>
  </si>
  <si>
    <t>- Đào khuôn đường đá 2x4 hỗn hợp (móng đường cũ):</t>
  </si>
  <si>
    <t>- Khối lượng CPĐD loại 1 (bù vênh nền đường):</t>
  </si>
  <si>
    <t>+ Khối lượng kết cấu nền đường KC2:</t>
  </si>
  <si>
    <t>+ Khối lượng kết cấu nền đường KC1:</t>
  </si>
  <si>
    <t>- Mở rộng 3 - kết cấu KC2:</t>
  </si>
  <si>
    <t>Mở rộng 2, 3</t>
  </si>
  <si>
    <t>Tuyến AB, mở rộng 1</t>
  </si>
  <si>
    <t>- Diện tích lớp CPDD loại 2 dày 20cm đầm chặt:</t>
  </si>
  <si>
    <t>- Diện tích lớp CPĐD loại 1 dày 20cm đầm chặt:</t>
  </si>
  <si>
    <t>- Diện tích nền đào đầm chặt K95:</t>
  </si>
  <si>
    <t>∑ (vỉa hè 1 + vỉa hè 2+…+vỉa hè 8)</t>
  </si>
  <si>
    <t>- Khối lượng đào khuôn vỉa hè (đất cấp II):</t>
  </si>
  <si>
    <t>- Khối lượng đắp nền vỉa hè đất núi đầm chặt k95:</t>
  </si>
  <si>
    <t>- Diện tích lớp CPDD loại 2 đầm chặt dày 10cm:</t>
  </si>
  <si>
    <t>+ Khối lượng vỉa hè (diện tích đã trừ bó vỉa chiếm chỗ):</t>
  </si>
  <si>
    <t xml:space="preserve">          + Số viên bó vỉa loại 1 (L=99cm):</t>
  </si>
  <si>
    <t xml:space="preserve">          + Số viên bó vỉa loại 2 (L=49cm):</t>
  </si>
  <si>
    <t>- Chiều dài viên đan rãnh:</t>
  </si>
  <si>
    <t xml:space="preserve">          + Số viên đan rãnh:</t>
  </si>
  <si>
    <t>(chiều dài L=54,0m)</t>
  </si>
  <si>
    <t>- Chiều dài bó hè:</t>
  </si>
  <si>
    <t>∑ (bó vỉa 1+…+bó vỉa 4) - Bình đồ TK</t>
  </si>
  <si>
    <t>- Tuyến AB:</t>
  </si>
  <si>
    <t>Xây mới ga loại 1 (ga thăm, thoát nước cống D500):</t>
  </si>
  <si>
    <t>ga</t>
  </si>
  <si>
    <t>Bình  đồ TK</t>
  </si>
  <si>
    <t>- Đắp cát đầm chặt k95 hố móng ga:</t>
  </si>
  <si>
    <t>Xây mới ga loại 2 (hố ga thu nước mặt đường):</t>
  </si>
  <si>
    <t>Cống BTCT D500:</t>
  </si>
  <si>
    <t>(3.4*3.4-1.5*1.5)*0.2</t>
  </si>
  <si>
    <t>(3.2*3.2-1.5*1.5)*0.3</t>
  </si>
  <si>
    <t>(2.9*2.9-1.5*1.5)*1.0</t>
  </si>
  <si>
    <t>(2.99*1.545-1.21*0.655)*0.2</t>
  </si>
  <si>
    <t>(2.79*1.445-1.21*0.655)*0.3</t>
  </si>
  <si>
    <t>- Đắp cấp phối đá dăm loại 2 hố móng ga (dày 20cm):</t>
  </si>
  <si>
    <t>- Đào đá 2x4 hỗn hợp (nền đường hiện trạng):</t>
  </si>
  <si>
    <t>- Đào móng cống đất cấp II:</t>
  </si>
  <si>
    <t>- Ống cống BTCT D500 (đã trừ giao ga):</t>
  </si>
  <si>
    <t>0,4m2/m</t>
  </si>
  <si>
    <t>1,78m2/m</t>
  </si>
  <si>
    <t>- Cấp phối loại 2 đầm chặt dày 20cm:</t>
  </si>
  <si>
    <t>0,52m2/m</t>
  </si>
  <si>
    <t>0,45m2/m</t>
  </si>
  <si>
    <t>Cống BTCT D400:</t>
  </si>
  <si>
    <t>- Chiều dài tim tuyến cống D400:</t>
  </si>
  <si>
    <t>0,35m2/m</t>
  </si>
  <si>
    <t>1,4m2/m</t>
  </si>
  <si>
    <t>0,40m2/m</t>
  </si>
  <si>
    <t>0,33m2/m</t>
  </si>
  <si>
    <t>Cống BTCT D300:</t>
  </si>
  <si>
    <t>- Chiều dài tim tuyến cống D300:</t>
  </si>
  <si>
    <t>- Gối cống D300:</t>
  </si>
  <si>
    <t>- Tổng chiều dài lớp lót móng cống:</t>
  </si>
  <si>
    <t>02 gối cống/đốt cống dài 1m</t>
  </si>
  <si>
    <t>1,07m2/m</t>
  </si>
  <si>
    <t>0,34m2/m</t>
  </si>
  <si>
    <t>0,30m2/m</t>
  </si>
  <si>
    <t>Ống nhựa u.PVC D200</t>
  </si>
  <si>
    <t>- Chiều dài ống nhựa u.PVC D200-C3:</t>
  </si>
  <si>
    <t>- Đào móng lắp đặt ống D200 (đất cấp II):</t>
  </si>
  <si>
    <t>- Đắp cát đầm chặt k=0.95:</t>
  </si>
  <si>
    <t>- Cát đen đầm chặt k=0.95 :</t>
  </si>
  <si>
    <t>- Lắp đặt cút 90 uPVC D200:</t>
  </si>
  <si>
    <t>0,39m2/m</t>
  </si>
  <si>
    <t>0m31m2/m</t>
  </si>
  <si>
    <t>1 cái/đầu đoạn ống đến hố ga thu</t>
  </si>
  <si>
    <t>(2.49*2.49-1.21*1.21)*0.68</t>
  </si>
  <si>
    <t>III</t>
  </si>
  <si>
    <t>HẠNG MỤC : KHẢO SÁT ĐỊA HÌNH</t>
  </si>
  <si>
    <t>ha</t>
  </si>
  <si>
    <t>điểm</t>
  </si>
  <si>
    <t>km</t>
  </si>
  <si>
    <t>100m</t>
  </si>
  <si>
    <t>- Đo vẽ bản đồ địa hình hiện trạng tỉ lệ 1/500, đường đồng mức 0,5m, địa hình cấp II:</t>
  </si>
  <si>
    <t>- Lập đường chuyền cấp II:</t>
  </si>
  <si>
    <t>- Thủy chuẩn kỹ thuật, địa hình cấp II:</t>
  </si>
  <si>
    <t>- Đo vẽ mặt cắt dọc tuyến:</t>
  </si>
  <si>
    <t>- Đo vẽ mặt cắt ngang:</t>
  </si>
  <si>
    <t>Dài: 150m; Rộng: 15m</t>
  </si>
  <si>
    <t>12 mặt cắt ngang</t>
  </si>
  <si>
    <t>- Diện tích lớp bê tông nhựa rải nóng BTN C19 sau lu lèn dày 7cm:</t>
  </si>
  <si>
    <t>- Số đốt cống BTCT D300 (đốt cống dài 1m):</t>
  </si>
  <si>
    <t>B mặt đường</t>
  </si>
  <si>
    <t>- Diện tích lớp đất núi dày 30cm đầm chặt K95:</t>
  </si>
  <si>
    <t>- Đắp đất núi đầm chặt k95 hố móng ga (dày 30cm):</t>
  </si>
  <si>
    <t>- Đất núi đầm chặt k=0.95 dày 30cm:</t>
  </si>
  <si>
    <t>- Cát đen đầm chặt k=0.95:</t>
  </si>
  <si>
    <t>- Diện tích lát gạch terrazzo kt 40x40x3cm:</t>
  </si>
  <si>
    <t>- Diện tích bê tông nền hè mác 150, đá 1x2 dày 10cm:</t>
  </si>
  <si>
    <t>BẢNG TỔNG HỢP KHỐI LƯỢNG CÁC CÔNG TÁC CHÍNH
Công trình: Duy tu, sửa chữa ngõ 33 Ngô Quyền, phường Máy Chai</t>
  </si>
  <si>
    <t>cống cấp tải cao</t>
  </si>
  <si>
    <t>cống cấp cao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</si>
</sst>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\ _₫_-;\-* #,##0.00\ _₫_-;_-* &quot;-&quot;??\ _₫_-;_-@_-"/>
    <numFmt numFmtId="165" formatCode="_-* #,##0\ _₫_-;\-* #,##0\ _₫_-;_-* &quot;-&quot;??\ _₫_-;_-@_-"/>
  </numFmts>
  <fonts count="23" x14ac:knownFonts="1">
    <font>
      <sz val="11"/>
      <color theme="1"/>
      <name val="Calibri"/>
      <family val="2"/>
      <charset val="163"/>
      <scheme val="minor"/>
    </font>
    <font>
      <b/>
      <sz val="13"/>
      <name val="Times New Roman"/>
      <family val="1"/>
    </font>
    <font>
      <sz val="13"/>
      <name val="Times New Roman"/>
      <family val="1"/>
    </font>
    <font>
      <i/>
      <sz val="13"/>
      <name val="Times New Roman"/>
      <family val="1"/>
    </font>
    <font>
      <sz val="13"/>
      <name val="Times New Roman"/>
      <family val="1"/>
    </font>
    <font>
      <sz val="11"/>
      <color theme="1"/>
      <name val="Calibri"/>
      <family val="2"/>
      <charset val="163"/>
      <scheme val="minor"/>
    </font>
    <font>
      <b/>
      <sz val="13"/>
      <name val="Calibri Light"/>
      <family val="1"/>
      <scheme val="major"/>
    </font>
    <font>
      <sz val="13"/>
      <name val="Calibri"/>
      <family val="2"/>
      <charset val="163"/>
      <scheme val="minor"/>
    </font>
    <font>
      <sz val="13"/>
      <name val="Calibri Light"/>
      <family val="1"/>
      <scheme val="major"/>
    </font>
    <font>
      <sz val="13"/>
      <name val="Calibri"/>
      <family val="2"/>
      <scheme val="minor"/>
    </font>
    <font>
      <i/>
      <sz val="13"/>
      <name val="Calibri Light"/>
      <family val="1"/>
      <scheme val="major"/>
    </font>
    <font>
      <i/>
      <sz val="13"/>
      <name val="Calibri"/>
      <family val="2"/>
      <scheme val="minor"/>
    </font>
    <font>
      <sz val="13"/>
      <color rgb="FF7030A0"/>
      <name val="Calibri"/>
      <family val="2"/>
      <scheme val="minor"/>
    </font>
    <font>
      <b/>
      <sz val="13"/>
      <color rgb="FF7030A0"/>
      <name val="Calibri"/>
      <family val="2"/>
      <scheme val="minor"/>
    </font>
    <font>
      <sz val="13"/>
      <name val="Calibri Light"/>
      <family val="1"/>
      <charset val="163"/>
      <scheme val="major"/>
    </font>
    <font>
      <b/>
      <sz val="14"/>
      <name val="Arial"/>
      <family val="2"/>
    </font>
    <font>
      <b/>
      <sz val="12"/>
      <name val=".Vn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name val=".VnTime"/>
      <family val="2"/>
    </font>
    <font>
      <b/>
      <sz val="12"/>
      <name val=".VnTime"/>
      <family val="2"/>
    </font>
    <font>
      <b/>
      <i/>
      <sz val="13"/>
      <name val="Times New Roman"/>
      <family val="1"/>
    </font>
    <font>
      <sz val="13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2">
    <xf numFmtId="0" fontId="0" fillId="0" borderId="0"/>
    <xf numFmtId="164" fontId="5" fillId="0" borderId="0" applyFont="0" applyFill="0" applyBorder="0" applyAlignment="0" applyProtection="0"/>
  </cellStyleXfs>
  <cellXfs count="87">
    <xf numFmtId="0" fontId="0" fillId="0" borderId="0" xfId="0"/>
    <xf numFmtId="0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right" vertical="center" wrapText="1"/>
    </xf>
    <xf numFmtId="0" fontId="6" fillId="0" borderId="1" xfId="0" applyNumberFormat="1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/>
    </xf>
    <xf numFmtId="164" fontId="1" fillId="0" borderId="2" xfId="1" applyFont="1" applyFill="1" applyBorder="1" applyAlignment="1">
      <alignment horizontal="right" vertical="center"/>
    </xf>
    <xf numFmtId="0" fontId="3" fillId="0" borderId="2" xfId="0" applyFont="1" applyFill="1" applyBorder="1" applyAlignment="1">
      <alignment horizontal="center" vertical="center"/>
    </xf>
    <xf numFmtId="49" fontId="3" fillId="0" borderId="2" xfId="0" applyNumberFormat="1" applyFont="1" applyFill="1" applyBorder="1" applyAlignment="1">
      <alignment vertical="center" wrapText="1"/>
    </xf>
    <xf numFmtId="164" fontId="3" fillId="0" borderId="2" xfId="1" applyFont="1" applyFill="1" applyBorder="1" applyAlignment="1">
      <alignment horizontal="right" vertical="center"/>
    </xf>
    <xf numFmtId="0" fontId="4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49" fontId="4" fillId="0" borderId="2" xfId="0" applyNumberFormat="1" applyFont="1" applyFill="1" applyBorder="1" applyAlignment="1">
      <alignment vertical="center" wrapText="1"/>
    </xf>
    <xf numFmtId="164" fontId="4" fillId="0" borderId="2" xfId="1" applyNumberFormat="1" applyFont="1" applyFill="1" applyBorder="1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164" fontId="4" fillId="2" borderId="1" xfId="1" applyFont="1" applyFill="1" applyBorder="1" applyAlignment="1">
      <alignment horizontal="right" vertical="center"/>
    </xf>
    <xf numFmtId="0" fontId="4" fillId="0" borderId="2" xfId="0" quotePrefix="1" applyFont="1" applyFill="1" applyBorder="1" applyAlignment="1">
      <alignment horizontal="center" vertical="center"/>
    </xf>
    <xf numFmtId="164" fontId="4" fillId="0" borderId="2" xfId="1" applyFont="1" applyFill="1" applyBorder="1" applyAlignment="1">
      <alignment horizontal="right" vertical="center"/>
    </xf>
    <xf numFmtId="0" fontId="2" fillId="0" borderId="3" xfId="0" quotePrefix="1" applyFont="1" applyFill="1" applyBorder="1" applyAlignment="1">
      <alignment horizontal="center" vertical="center"/>
    </xf>
    <xf numFmtId="49" fontId="2" fillId="0" borderId="3" xfId="0" applyNumberFormat="1" applyFont="1" applyFill="1" applyBorder="1" applyAlignment="1">
      <alignment vertical="center" wrapText="1"/>
    </xf>
    <xf numFmtId="0" fontId="2" fillId="0" borderId="3" xfId="0" applyFont="1" applyFill="1" applyBorder="1" applyAlignment="1">
      <alignment horizontal="center" vertical="center"/>
    </xf>
    <xf numFmtId="164" fontId="2" fillId="0" borderId="3" xfId="1" applyFont="1" applyFill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43" fontId="9" fillId="0" borderId="0" xfId="0" applyNumberFormat="1" applyFont="1" applyFill="1" applyAlignment="1">
      <alignment vertical="center"/>
    </xf>
    <xf numFmtId="0" fontId="9" fillId="0" borderId="0" xfId="0" applyFont="1" applyFill="1" applyAlignment="1">
      <alignment vertical="center"/>
    </xf>
    <xf numFmtId="0" fontId="10" fillId="0" borderId="3" xfId="0" applyFont="1" applyFill="1" applyBorder="1" applyAlignment="1">
      <alignment horizontal="left" vertical="center"/>
    </xf>
    <xf numFmtId="165" fontId="11" fillId="0" borderId="0" xfId="0" applyNumberFormat="1" applyFont="1" applyFill="1" applyAlignment="1">
      <alignment vertical="center"/>
    </xf>
    <xf numFmtId="0" fontId="11" fillId="0" borderId="0" xfId="0" applyFont="1" applyFill="1" applyAlignment="1">
      <alignment vertical="center"/>
    </xf>
    <xf numFmtId="0" fontId="8" fillId="0" borderId="3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12" fillId="0" borderId="0" xfId="0" applyFont="1" applyFill="1" applyAlignment="1">
      <alignment vertical="center"/>
    </xf>
    <xf numFmtId="165" fontId="12" fillId="0" borderId="0" xfId="0" applyNumberFormat="1" applyFont="1" applyFill="1" applyAlignment="1">
      <alignment vertical="center"/>
    </xf>
    <xf numFmtId="0" fontId="13" fillId="0" borderId="0" xfId="0" applyFont="1" applyFill="1" applyAlignment="1">
      <alignment vertical="center"/>
    </xf>
    <xf numFmtId="2" fontId="11" fillId="0" borderId="0" xfId="0" applyNumberFormat="1" applyFont="1" applyFill="1" applyAlignment="1">
      <alignment vertical="center"/>
    </xf>
    <xf numFmtId="0" fontId="10" fillId="0" borderId="2" xfId="0" applyFont="1" applyFill="1" applyBorder="1" applyAlignment="1">
      <alignment horizontal="left" vertical="center"/>
    </xf>
    <xf numFmtId="0" fontId="7" fillId="0" borderId="0" xfId="0" applyFont="1" applyAlignment="1">
      <alignment horizontal="center" vertical="center"/>
    </xf>
    <xf numFmtId="49" fontId="7" fillId="0" borderId="0" xfId="0" applyNumberFormat="1" applyFont="1" applyAlignment="1">
      <alignment vertical="center"/>
    </xf>
    <xf numFmtId="0" fontId="7" fillId="0" borderId="0" xfId="0" applyFont="1" applyAlignment="1">
      <alignment horizontal="right" vertical="center"/>
    </xf>
    <xf numFmtId="0" fontId="14" fillId="0" borderId="0" xfId="0" applyFont="1" applyAlignment="1">
      <alignment horizontal="left" vertical="center"/>
    </xf>
    <xf numFmtId="2" fontId="7" fillId="0" borderId="0" xfId="0" applyNumberFormat="1" applyFont="1" applyAlignment="1">
      <alignment horizontal="right" vertical="center"/>
    </xf>
    <xf numFmtId="49" fontId="3" fillId="0" borderId="2" xfId="0" quotePrefix="1" applyNumberFormat="1" applyFont="1" applyFill="1" applyBorder="1" applyAlignment="1">
      <alignment vertical="center" wrapText="1"/>
    </xf>
    <xf numFmtId="49" fontId="2" fillId="0" borderId="3" xfId="0" quotePrefix="1" applyNumberFormat="1" applyFont="1" applyFill="1" applyBorder="1" applyAlignment="1">
      <alignment vertical="center" wrapText="1"/>
    </xf>
    <xf numFmtId="49" fontId="2" fillId="0" borderId="2" xfId="0" quotePrefix="1" applyNumberFormat="1" applyFont="1" applyFill="1" applyBorder="1" applyAlignment="1">
      <alignment vertical="center" wrapText="1"/>
    </xf>
    <xf numFmtId="0" fontId="2" fillId="0" borderId="2" xfId="0" applyFont="1" applyFill="1" applyBorder="1" applyAlignment="1">
      <alignment horizontal="center" vertical="center"/>
    </xf>
    <xf numFmtId="165" fontId="2" fillId="0" borderId="3" xfId="1" applyNumberFormat="1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vertical="center" wrapText="1"/>
    </xf>
    <xf numFmtId="164" fontId="1" fillId="0" borderId="1" xfId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2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2" fontId="18" fillId="0" borderId="3" xfId="0" applyNumberFormat="1" applyFont="1" applyBorder="1" applyAlignment="1">
      <alignment horizontal="center" vertical="center"/>
    </xf>
    <xf numFmtId="0" fontId="17" fillId="3" borderId="3" xfId="0" applyFont="1" applyFill="1" applyBorder="1" applyAlignment="1">
      <alignment horizontal="center" vertical="center"/>
    </xf>
    <xf numFmtId="2" fontId="18" fillId="3" borderId="3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/>
    </xf>
    <xf numFmtId="2" fontId="20" fillId="0" borderId="1" xfId="0" applyNumberFormat="1" applyFont="1" applyBorder="1" applyAlignment="1">
      <alignment horizontal="center" vertical="center"/>
    </xf>
    <xf numFmtId="2" fontId="18" fillId="0" borderId="8" xfId="0" applyNumberFormat="1" applyFont="1" applyBorder="1" applyAlignment="1">
      <alignment horizontal="center" vertical="center"/>
    </xf>
    <xf numFmtId="2" fontId="0" fillId="0" borderId="3" xfId="0" applyNumberFormat="1" applyBorder="1"/>
    <xf numFmtId="2" fontId="18" fillId="4" borderId="3" xfId="0" applyNumberFormat="1" applyFont="1" applyFill="1" applyBorder="1" applyAlignment="1">
      <alignment horizontal="center" vertical="center"/>
    </xf>
    <xf numFmtId="49" fontId="21" fillId="0" borderId="2" xfId="0" quotePrefix="1" applyNumberFormat="1" applyFont="1" applyFill="1" applyBorder="1" applyAlignment="1">
      <alignment vertical="center" wrapText="1"/>
    </xf>
    <xf numFmtId="0" fontId="21" fillId="0" borderId="2" xfId="0" applyFont="1" applyFill="1" applyBorder="1" applyAlignment="1">
      <alignment horizontal="center" vertical="center"/>
    </xf>
    <xf numFmtId="164" fontId="21" fillId="0" borderId="2" xfId="1" applyNumberFormat="1" applyFont="1" applyFill="1" applyBorder="1" applyAlignment="1">
      <alignment horizontal="right" vertical="center"/>
    </xf>
    <xf numFmtId="0" fontId="22" fillId="0" borderId="2" xfId="0" applyFont="1" applyFill="1" applyBorder="1" applyAlignment="1">
      <alignment horizontal="left" vertical="center"/>
    </xf>
    <xf numFmtId="49" fontId="1" fillId="0" borderId="1" xfId="0" quotePrefix="1" applyNumberFormat="1" applyFont="1" applyFill="1" applyBorder="1" applyAlignment="1">
      <alignment vertical="center" wrapText="1"/>
    </xf>
    <xf numFmtId="164" fontId="2" fillId="0" borderId="3" xfId="1" applyNumberFormat="1" applyFont="1" applyFill="1" applyBorder="1" applyAlignment="1">
      <alignment horizontal="right" vertical="center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2" fontId="18" fillId="3" borderId="8" xfId="0" applyNumberFormat="1" applyFont="1" applyFill="1" applyBorder="1" applyAlignment="1">
      <alignment horizontal="center" vertical="center"/>
    </xf>
    <xf numFmtId="2" fontId="20" fillId="3" borderId="1" xfId="0" applyNumberFormat="1" applyFont="1" applyFill="1" applyBorder="1" applyAlignment="1">
      <alignment horizontal="center" vertical="center"/>
    </xf>
    <xf numFmtId="49" fontId="2" fillId="3" borderId="2" xfId="0" quotePrefix="1" applyNumberFormat="1" applyFont="1" applyFill="1" applyBorder="1" applyAlignment="1">
      <alignment vertical="center" wrapText="1"/>
    </xf>
    <xf numFmtId="0" fontId="2" fillId="3" borderId="2" xfId="0" applyFont="1" applyFill="1" applyBorder="1" applyAlignment="1">
      <alignment horizontal="center" vertical="center"/>
    </xf>
    <xf numFmtId="164" fontId="4" fillId="3" borderId="2" xfId="1" applyNumberFormat="1" applyFont="1" applyFill="1" applyBorder="1" applyAlignment="1">
      <alignment horizontal="right" vertical="center"/>
    </xf>
    <xf numFmtId="49" fontId="21" fillId="3" borderId="2" xfId="0" quotePrefix="1" applyNumberFormat="1" applyFont="1" applyFill="1" applyBorder="1" applyAlignment="1">
      <alignment vertical="center" wrapText="1"/>
    </xf>
    <xf numFmtId="0" fontId="21" fillId="3" borderId="2" xfId="0" applyFont="1" applyFill="1" applyBorder="1" applyAlignment="1">
      <alignment horizontal="center" vertical="center"/>
    </xf>
    <xf numFmtId="164" fontId="21" fillId="3" borderId="2" xfId="1" applyNumberFormat="1" applyFont="1" applyFill="1" applyBorder="1" applyAlignment="1">
      <alignment horizontal="right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defaultGridColor="0" view="pageBreakPreview" colorId="0" workbookViewId="0">
      <pane activePane="bottomRight" state="frozenSplit"/>
    </sheetView>
  </sheetViews>
  <sheetFormatPr defaultRowHeight="15" x14ac:dyDescent="0.25"/>
  <sheetData/>
  <pageMargins left="0.7" right="0.7" top="0.75" bottom="0.75" header="0.3" footer="0.3"/>
  <pageSetup paperSize="8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9"/>
  <sheetViews>
    <sheetView tabSelected="1" zoomScale="115" zoomScaleNormal="115" workbookViewId="0">
      <pane ySplit="2" topLeftCell="A3" activePane="bottomLeft" state="frozen"/>
      <selection pane="bottomLeft" activeCell="B11" sqref="B11"/>
    </sheetView>
  </sheetViews>
  <sheetFormatPr defaultColWidth="0" defaultRowHeight="17.25" x14ac:dyDescent="0.25"/>
  <cols>
    <col min="1" max="1" width="9" style="38" customWidth="1"/>
    <col min="2" max="2" width="90.140625" style="39" customWidth="1"/>
    <col min="3" max="3" width="17.7109375" style="24" customWidth="1"/>
    <col min="4" max="4" width="16.140625" style="40" customWidth="1"/>
    <col min="5" max="5" width="39.140625" style="41" customWidth="1"/>
    <col min="6" max="6" width="10.28515625" style="24" hidden="1" customWidth="1"/>
    <col min="7" max="7" width="10" style="24" hidden="1" customWidth="1"/>
    <col min="8" max="9" width="9" style="24" hidden="1" customWidth="1"/>
    <col min="10" max="10" width="12.140625" style="24" hidden="1" customWidth="1"/>
    <col min="11" max="239" width="9" style="24" customWidth="1"/>
    <col min="240" max="240" width="58.85546875" style="24" bestFit="1" customWidth="1"/>
    <col min="241" max="241" width="10.140625" style="24" customWidth="1"/>
    <col min="242" max="242" width="14.28515625" style="24" customWidth="1"/>
    <col min="243" max="16384" width="0" style="24" hidden="1"/>
  </cols>
  <sheetData>
    <row r="1" spans="1:11" ht="35.25" customHeight="1" x14ac:dyDescent="0.25">
      <c r="A1" s="80" t="s">
        <v>152</v>
      </c>
      <c r="B1" s="81"/>
      <c r="C1" s="81"/>
      <c r="D1" s="81"/>
      <c r="E1" s="81"/>
    </row>
    <row r="2" spans="1:11" ht="20.25" customHeight="1" x14ac:dyDescent="0.25">
      <c r="A2" s="1" t="s">
        <v>0</v>
      </c>
      <c r="B2" s="2" t="s">
        <v>1</v>
      </c>
      <c r="C2" s="1" t="s">
        <v>2</v>
      </c>
      <c r="D2" s="3" t="s">
        <v>3</v>
      </c>
      <c r="E2" s="4" t="s">
        <v>11</v>
      </c>
    </row>
    <row r="3" spans="1:11" ht="18" customHeight="1" x14ac:dyDescent="0.25">
      <c r="A3" s="5" t="s">
        <v>4</v>
      </c>
      <c r="B3" s="6" t="s">
        <v>13</v>
      </c>
      <c r="C3" s="5"/>
      <c r="D3" s="7"/>
      <c r="E3" s="25"/>
      <c r="K3" s="24">
        <v>1</v>
      </c>
    </row>
    <row r="4" spans="1:11" s="27" customFormat="1" ht="18" customHeight="1" x14ac:dyDescent="0.25">
      <c r="A4" s="48">
        <v>1</v>
      </c>
      <c r="B4" s="49" t="s">
        <v>53</v>
      </c>
      <c r="C4" s="48" t="s">
        <v>5</v>
      </c>
      <c r="D4" s="50">
        <f>SUM(D5:D5)</f>
        <v>148.81000000000003</v>
      </c>
      <c r="E4" s="51"/>
      <c r="F4" s="8"/>
      <c r="G4" s="26"/>
      <c r="K4" s="27">
        <v>2</v>
      </c>
    </row>
    <row r="5" spans="1:11" s="30" customFormat="1" ht="18" customHeight="1" x14ac:dyDescent="0.25">
      <c r="A5" s="9"/>
      <c r="B5" s="10" t="s">
        <v>85</v>
      </c>
      <c r="C5" s="9" t="s">
        <v>5</v>
      </c>
      <c r="D5" s="11">
        <f>'BANG KL NEN MAT NGO'!B27</f>
        <v>148.81000000000003</v>
      </c>
      <c r="E5" s="37" t="s">
        <v>52</v>
      </c>
      <c r="F5" s="29"/>
      <c r="K5" s="24">
        <v>3</v>
      </c>
    </row>
    <row r="6" spans="1:11" s="27" customFormat="1" x14ac:dyDescent="0.25">
      <c r="A6" s="48">
        <v>2</v>
      </c>
      <c r="B6" s="49" t="s">
        <v>57</v>
      </c>
      <c r="C6" s="48" t="s">
        <v>6</v>
      </c>
      <c r="D6" s="50">
        <f>SUM(D7:D10)</f>
        <v>904</v>
      </c>
      <c r="E6" s="51"/>
      <c r="K6" s="24">
        <v>5</v>
      </c>
    </row>
    <row r="7" spans="1:11" s="27" customFormat="1" ht="18" customHeight="1" x14ac:dyDescent="0.25">
      <c r="A7" s="12"/>
      <c r="B7" s="43" t="s">
        <v>54</v>
      </c>
      <c r="C7" s="9" t="s">
        <v>6</v>
      </c>
      <c r="D7" s="11">
        <v>796</v>
      </c>
      <c r="E7" s="28" t="s">
        <v>12</v>
      </c>
      <c r="K7" s="27">
        <v>6</v>
      </c>
    </row>
    <row r="8" spans="1:11" s="27" customFormat="1" ht="18" customHeight="1" x14ac:dyDescent="0.25">
      <c r="A8" s="12"/>
      <c r="B8" s="43" t="s">
        <v>55</v>
      </c>
      <c r="C8" s="9" t="s">
        <v>6</v>
      </c>
      <c r="D8" s="11">
        <v>67</v>
      </c>
      <c r="E8" s="28" t="s">
        <v>12</v>
      </c>
    </row>
    <row r="9" spans="1:11" s="27" customFormat="1" ht="18" customHeight="1" x14ac:dyDescent="0.25">
      <c r="A9" s="12"/>
      <c r="B9" s="43" t="s">
        <v>56</v>
      </c>
      <c r="C9" s="9" t="s">
        <v>6</v>
      </c>
      <c r="D9" s="11">
        <v>29</v>
      </c>
      <c r="E9" s="28" t="s">
        <v>12</v>
      </c>
    </row>
    <row r="10" spans="1:11" s="27" customFormat="1" ht="18" customHeight="1" x14ac:dyDescent="0.25">
      <c r="A10" s="12"/>
      <c r="B10" s="43" t="s">
        <v>67</v>
      </c>
      <c r="C10" s="9" t="s">
        <v>6</v>
      </c>
      <c r="D10" s="11">
        <v>12</v>
      </c>
      <c r="E10" s="28" t="s">
        <v>12</v>
      </c>
    </row>
    <row r="11" spans="1:11" s="27" customFormat="1" x14ac:dyDescent="0.25">
      <c r="A11" s="48">
        <v>3</v>
      </c>
      <c r="B11" s="49" t="s">
        <v>58</v>
      </c>
      <c r="C11" s="48" t="s">
        <v>6</v>
      </c>
      <c r="D11" s="50">
        <f>D6-11*0.85*0.85</f>
        <v>896.05250000000001</v>
      </c>
      <c r="E11" s="51" t="s">
        <v>59</v>
      </c>
      <c r="K11" s="24">
        <v>7</v>
      </c>
    </row>
    <row r="12" spans="1:11" s="27" customFormat="1" ht="18" customHeight="1" x14ac:dyDescent="0.25">
      <c r="A12" s="48">
        <v>4</v>
      </c>
      <c r="B12" s="49" t="s">
        <v>62</v>
      </c>
      <c r="C12" s="48"/>
      <c r="D12" s="50"/>
      <c r="E12" s="51"/>
      <c r="K12" s="27">
        <v>20</v>
      </c>
    </row>
    <row r="13" spans="1:11" s="27" customFormat="1" x14ac:dyDescent="0.25">
      <c r="A13" s="13"/>
      <c r="B13" s="45" t="s">
        <v>22</v>
      </c>
      <c r="C13" s="46" t="s">
        <v>6</v>
      </c>
      <c r="D13" s="15">
        <f>D11-D35*0.25</f>
        <v>824.30250000000001</v>
      </c>
      <c r="E13" s="32" t="s">
        <v>60</v>
      </c>
      <c r="K13" s="27">
        <v>22</v>
      </c>
    </row>
    <row r="14" spans="1:11" s="27" customFormat="1" ht="18" customHeight="1" x14ac:dyDescent="0.25">
      <c r="A14" s="13"/>
      <c r="B14" s="45" t="s">
        <v>23</v>
      </c>
      <c r="C14" s="12" t="s">
        <v>6</v>
      </c>
      <c r="D14" s="15">
        <f>D13</f>
        <v>824.30250000000001</v>
      </c>
      <c r="E14" s="32" t="s">
        <v>60</v>
      </c>
      <c r="K14" s="24">
        <v>23</v>
      </c>
    </row>
    <row r="15" spans="1:11" s="27" customFormat="1" ht="18" customHeight="1" x14ac:dyDescent="0.25">
      <c r="A15" s="13"/>
      <c r="B15" s="45" t="s">
        <v>143</v>
      </c>
      <c r="C15" s="46" t="s">
        <v>6</v>
      </c>
      <c r="D15" s="15">
        <f>D14</f>
        <v>824.30250000000001</v>
      </c>
      <c r="E15" s="32" t="s">
        <v>60</v>
      </c>
      <c r="K15" s="27">
        <v>24</v>
      </c>
    </row>
    <row r="16" spans="1:11" s="27" customFormat="1" ht="18" customHeight="1" x14ac:dyDescent="0.25">
      <c r="A16" s="13"/>
      <c r="B16" s="45" t="s">
        <v>24</v>
      </c>
      <c r="C16" s="12" t="s">
        <v>6</v>
      </c>
      <c r="D16" s="15">
        <f>D15</f>
        <v>824.30250000000001</v>
      </c>
      <c r="E16" s="32" t="s">
        <v>60</v>
      </c>
      <c r="K16" s="24">
        <v>25</v>
      </c>
    </row>
    <row r="17" spans="1:11" s="27" customFormat="1" ht="18" customHeight="1" x14ac:dyDescent="0.25">
      <c r="A17" s="13"/>
      <c r="B17" s="45" t="s">
        <v>71</v>
      </c>
      <c r="C17" s="46" t="s">
        <v>6</v>
      </c>
      <c r="D17" s="15">
        <f>D11</f>
        <v>896.05250000000001</v>
      </c>
      <c r="E17" s="32" t="s">
        <v>61</v>
      </c>
      <c r="K17" s="24"/>
    </row>
    <row r="18" spans="1:11" s="27" customFormat="1" ht="18" customHeight="1" x14ac:dyDescent="0.25">
      <c r="A18" s="13"/>
      <c r="B18" s="64" t="s">
        <v>66</v>
      </c>
      <c r="C18" s="65" t="s">
        <v>6</v>
      </c>
      <c r="D18" s="66">
        <f>D7+D8</f>
        <v>863</v>
      </c>
      <c r="E18" s="32" t="s">
        <v>69</v>
      </c>
      <c r="K18" s="24"/>
    </row>
    <row r="19" spans="1:11" s="27" customFormat="1" ht="18" customHeight="1" x14ac:dyDescent="0.25">
      <c r="A19" s="13"/>
      <c r="B19" s="74" t="s">
        <v>63</v>
      </c>
      <c r="C19" s="75" t="s">
        <v>7</v>
      </c>
      <c r="D19" s="76">
        <f>'BANG KL NEN MAT NGO'!H27</f>
        <v>254.7642725</v>
      </c>
      <c r="E19" s="32" t="s">
        <v>10</v>
      </c>
      <c r="K19" s="24"/>
    </row>
    <row r="20" spans="1:11" s="27" customFormat="1" ht="18" customHeight="1" x14ac:dyDescent="0.25">
      <c r="A20" s="13"/>
      <c r="B20" s="74" t="s">
        <v>64</v>
      </c>
      <c r="C20" s="75" t="s">
        <v>7</v>
      </c>
      <c r="D20" s="76">
        <f>'BANG KL NEN MAT NGO'!I27</f>
        <v>1.81</v>
      </c>
      <c r="E20" s="32" t="s">
        <v>10</v>
      </c>
      <c r="K20" s="24"/>
    </row>
    <row r="21" spans="1:11" s="27" customFormat="1" ht="18" customHeight="1" x14ac:dyDescent="0.25">
      <c r="A21" s="13"/>
      <c r="B21" s="77" t="s">
        <v>65</v>
      </c>
      <c r="C21" s="78" t="s">
        <v>6</v>
      </c>
      <c r="D21" s="79">
        <f>D9+D10</f>
        <v>41</v>
      </c>
      <c r="E21" s="32" t="s">
        <v>68</v>
      </c>
      <c r="K21" s="24"/>
    </row>
    <row r="22" spans="1:11" s="27" customFormat="1" ht="18" customHeight="1" x14ac:dyDescent="0.25">
      <c r="A22" s="13"/>
      <c r="B22" s="74" t="s">
        <v>70</v>
      </c>
      <c r="C22" s="75" t="s">
        <v>6</v>
      </c>
      <c r="D22" s="76">
        <f>D21</f>
        <v>41</v>
      </c>
      <c r="E22" s="32"/>
      <c r="K22" s="24"/>
    </row>
    <row r="23" spans="1:11" s="27" customFormat="1" ht="18" customHeight="1" x14ac:dyDescent="0.25">
      <c r="A23" s="13"/>
      <c r="B23" s="74" t="s">
        <v>146</v>
      </c>
      <c r="C23" s="75" t="s">
        <v>6</v>
      </c>
      <c r="D23" s="76">
        <f>D22</f>
        <v>41</v>
      </c>
      <c r="E23" s="32"/>
      <c r="K23" s="24"/>
    </row>
    <row r="24" spans="1:11" s="27" customFormat="1" ht="18" customHeight="1" x14ac:dyDescent="0.25">
      <c r="A24" s="13"/>
      <c r="B24" s="74" t="s">
        <v>146</v>
      </c>
      <c r="C24" s="75" t="s">
        <v>6</v>
      </c>
      <c r="D24" s="76">
        <f>D23</f>
        <v>41</v>
      </c>
      <c r="E24" s="32"/>
      <c r="K24" s="24"/>
    </row>
    <row r="25" spans="1:11" s="27" customFormat="1" ht="18" customHeight="1" x14ac:dyDescent="0.25">
      <c r="A25" s="13"/>
      <c r="B25" s="74" t="s">
        <v>72</v>
      </c>
      <c r="C25" s="75" t="s">
        <v>6</v>
      </c>
      <c r="D25" s="76">
        <f>D23</f>
        <v>41</v>
      </c>
      <c r="E25" s="32"/>
      <c r="K25" s="24"/>
    </row>
    <row r="26" spans="1:11" s="27" customFormat="1" x14ac:dyDescent="0.25">
      <c r="A26" s="65"/>
      <c r="B26" s="77" t="s">
        <v>77</v>
      </c>
      <c r="C26" s="78" t="s">
        <v>6</v>
      </c>
      <c r="D26" s="79">
        <f>7+72+18+17+13+76+5+68</f>
        <v>276</v>
      </c>
      <c r="E26" s="67" t="s">
        <v>73</v>
      </c>
      <c r="K26" s="24"/>
    </row>
    <row r="27" spans="1:11" s="27" customFormat="1" ht="18" customHeight="1" x14ac:dyDescent="0.25">
      <c r="A27" s="13"/>
      <c r="B27" s="74" t="s">
        <v>74</v>
      </c>
      <c r="C27" s="75" t="s">
        <v>7</v>
      </c>
      <c r="D27" s="76">
        <f>'BANG KL NEN MAT NGO'!J27</f>
        <v>29.835750000000004</v>
      </c>
      <c r="E27" s="32" t="s">
        <v>10</v>
      </c>
      <c r="K27" s="24"/>
    </row>
    <row r="28" spans="1:11" s="27" customFormat="1" ht="18" customHeight="1" x14ac:dyDescent="0.25">
      <c r="A28" s="13"/>
      <c r="B28" s="74" t="s">
        <v>75</v>
      </c>
      <c r="C28" s="75" t="s">
        <v>7</v>
      </c>
      <c r="D28" s="76">
        <f>'BANG KL NEN MAT NGO'!K27</f>
        <v>5.5093499999999995</v>
      </c>
      <c r="E28" s="32" t="s">
        <v>10</v>
      </c>
      <c r="K28" s="24"/>
    </row>
    <row r="29" spans="1:11" s="27" customFormat="1" ht="18" customHeight="1" x14ac:dyDescent="0.25">
      <c r="A29" s="13"/>
      <c r="B29" s="74" t="s">
        <v>150</v>
      </c>
      <c r="C29" s="75" t="s">
        <v>6</v>
      </c>
      <c r="D29" s="76">
        <f>D26</f>
        <v>276</v>
      </c>
      <c r="E29" s="32"/>
      <c r="K29" s="24"/>
    </row>
    <row r="30" spans="1:11" s="27" customFormat="1" ht="18" customHeight="1" x14ac:dyDescent="0.25">
      <c r="A30" s="13"/>
      <c r="B30" s="74" t="s">
        <v>151</v>
      </c>
      <c r="C30" s="75" t="s">
        <v>6</v>
      </c>
      <c r="D30" s="76">
        <f>D26</f>
        <v>276</v>
      </c>
      <c r="E30" s="32"/>
      <c r="K30" s="24"/>
    </row>
    <row r="31" spans="1:11" s="27" customFormat="1" ht="18" customHeight="1" x14ac:dyDescent="0.25">
      <c r="A31" s="13"/>
      <c r="B31" s="45" t="s">
        <v>76</v>
      </c>
      <c r="C31" s="46" t="s">
        <v>6</v>
      </c>
      <c r="D31" s="15">
        <f>D30</f>
        <v>276</v>
      </c>
      <c r="E31" s="32"/>
      <c r="K31" s="24"/>
    </row>
    <row r="32" spans="1:11" s="27" customFormat="1" ht="18" customHeight="1" x14ac:dyDescent="0.25">
      <c r="A32" s="13"/>
      <c r="B32" s="45" t="s">
        <v>29</v>
      </c>
      <c r="C32" s="46" t="s">
        <v>5</v>
      </c>
      <c r="D32" s="15">
        <f>79+39+18+151</f>
        <v>287</v>
      </c>
      <c r="E32" s="32" t="s">
        <v>84</v>
      </c>
      <c r="K32" s="24"/>
    </row>
    <row r="33" spans="1:11" s="27" customFormat="1" ht="18" customHeight="1" x14ac:dyDescent="0.25">
      <c r="A33" s="13"/>
      <c r="B33" s="45" t="s">
        <v>78</v>
      </c>
      <c r="C33" s="46" t="s">
        <v>30</v>
      </c>
      <c r="D33" s="15">
        <f>D32-D34/2</f>
        <v>233</v>
      </c>
      <c r="E33" s="32"/>
      <c r="K33" s="24"/>
    </row>
    <row r="34" spans="1:11" s="27" customFormat="1" ht="18" customHeight="1" x14ac:dyDescent="0.25">
      <c r="A34" s="13"/>
      <c r="B34" s="45" t="s">
        <v>79</v>
      </c>
      <c r="C34" s="46" t="s">
        <v>30</v>
      </c>
      <c r="D34" s="15">
        <f>54*2</f>
        <v>108</v>
      </c>
      <c r="E34" s="32" t="s">
        <v>82</v>
      </c>
      <c r="K34" s="24"/>
    </row>
    <row r="35" spans="1:11" s="27" customFormat="1" ht="18" customHeight="1" x14ac:dyDescent="0.25">
      <c r="A35" s="13"/>
      <c r="B35" s="45" t="s">
        <v>80</v>
      </c>
      <c r="C35" s="46" t="s">
        <v>5</v>
      </c>
      <c r="D35" s="15">
        <f>D32</f>
        <v>287</v>
      </c>
      <c r="E35" s="32" t="s">
        <v>82</v>
      </c>
      <c r="K35" s="24"/>
    </row>
    <row r="36" spans="1:11" s="27" customFormat="1" ht="18" customHeight="1" x14ac:dyDescent="0.25">
      <c r="A36" s="13"/>
      <c r="B36" s="45" t="s">
        <v>81</v>
      </c>
      <c r="C36" s="46" t="s">
        <v>30</v>
      </c>
      <c r="D36" s="15">
        <f>D35*2</f>
        <v>574</v>
      </c>
      <c r="E36" s="32"/>
      <c r="K36" s="24"/>
    </row>
    <row r="37" spans="1:11" s="27" customFormat="1" ht="18" customHeight="1" x14ac:dyDescent="0.25">
      <c r="A37" s="13"/>
      <c r="B37" s="45" t="s">
        <v>83</v>
      </c>
      <c r="C37" s="46" t="s">
        <v>5</v>
      </c>
      <c r="D37" s="15">
        <v>7</v>
      </c>
      <c r="E37" s="32" t="s">
        <v>12</v>
      </c>
      <c r="K37" s="24"/>
    </row>
    <row r="38" spans="1:11" s="27" customFormat="1" ht="18" customHeight="1" x14ac:dyDescent="0.25">
      <c r="A38" s="5" t="s">
        <v>8</v>
      </c>
      <c r="B38" s="6" t="s">
        <v>14</v>
      </c>
      <c r="C38" s="16"/>
      <c r="D38" s="17"/>
      <c r="E38" s="25"/>
      <c r="K38" s="24">
        <v>47</v>
      </c>
    </row>
    <row r="39" spans="1:11" s="27" customFormat="1" ht="18" customHeight="1" x14ac:dyDescent="0.25">
      <c r="A39" s="48">
        <v>1</v>
      </c>
      <c r="B39" s="49" t="s">
        <v>86</v>
      </c>
      <c r="C39" s="48" t="s">
        <v>87</v>
      </c>
      <c r="D39" s="50">
        <v>11</v>
      </c>
      <c r="E39" s="51" t="s">
        <v>88</v>
      </c>
      <c r="K39" s="24"/>
    </row>
    <row r="40" spans="1:11" s="27" customFormat="1" ht="18" customHeight="1" x14ac:dyDescent="0.25">
      <c r="A40" s="20"/>
      <c r="B40" s="44" t="s">
        <v>97</v>
      </c>
      <c r="C40" s="22" t="s">
        <v>7</v>
      </c>
      <c r="D40" s="23">
        <f>D39*(3.4*3.4-1.5*1.5)*0.2</f>
        <v>20.481999999999999</v>
      </c>
      <c r="E40" s="31" t="s">
        <v>92</v>
      </c>
      <c r="K40" s="24"/>
    </row>
    <row r="41" spans="1:11" s="27" customFormat="1" ht="18" customHeight="1" x14ac:dyDescent="0.25">
      <c r="A41" s="20"/>
      <c r="B41" s="44" t="s">
        <v>147</v>
      </c>
      <c r="C41" s="22" t="s">
        <v>7</v>
      </c>
      <c r="D41" s="23">
        <f>D39*(3.2*3.2-1.5*1.5)*0.3</f>
        <v>26.367000000000004</v>
      </c>
      <c r="E41" s="31" t="s">
        <v>93</v>
      </c>
      <c r="K41" s="24"/>
    </row>
    <row r="42" spans="1:11" s="27" customFormat="1" ht="18" customHeight="1" x14ac:dyDescent="0.25">
      <c r="A42" s="20"/>
      <c r="B42" s="44" t="s">
        <v>89</v>
      </c>
      <c r="C42" s="22" t="s">
        <v>7</v>
      </c>
      <c r="D42" s="23">
        <f>D39*(2.9*2.9-1.5*1.5)*1</f>
        <v>67.760000000000005</v>
      </c>
      <c r="E42" s="31" t="s">
        <v>94</v>
      </c>
      <c r="K42" s="24"/>
    </row>
    <row r="43" spans="1:11" s="27" customFormat="1" ht="18" customHeight="1" x14ac:dyDescent="0.25">
      <c r="A43" s="48">
        <v>2</v>
      </c>
      <c r="B43" s="49" t="s">
        <v>90</v>
      </c>
      <c r="C43" s="48" t="s">
        <v>87</v>
      </c>
      <c r="D43" s="50">
        <v>18</v>
      </c>
      <c r="E43" s="51"/>
      <c r="K43" s="24"/>
    </row>
    <row r="44" spans="1:11" s="27" customFormat="1" ht="18" customHeight="1" x14ac:dyDescent="0.25">
      <c r="A44" s="20"/>
      <c r="B44" s="21" t="s">
        <v>97</v>
      </c>
      <c r="C44" s="22" t="s">
        <v>7</v>
      </c>
      <c r="D44" s="23">
        <f>D43*(2.99*1.545-1.21*0.655)*0.2</f>
        <v>13.777200000000002</v>
      </c>
      <c r="E44" s="31" t="s">
        <v>95</v>
      </c>
      <c r="K44" s="24"/>
    </row>
    <row r="45" spans="1:11" s="27" customFormat="1" ht="18" customHeight="1" x14ac:dyDescent="0.25">
      <c r="A45" s="20"/>
      <c r="B45" s="21" t="s">
        <v>147</v>
      </c>
      <c r="C45" s="22" t="s">
        <v>7</v>
      </c>
      <c r="D45" s="23">
        <f>D43*(2.79*1.445-1.21*0.655)*0.3</f>
        <v>17.490600000000001</v>
      </c>
      <c r="E45" s="31" t="s">
        <v>96</v>
      </c>
      <c r="K45" s="24"/>
    </row>
    <row r="46" spans="1:11" s="27" customFormat="1" ht="18" customHeight="1" x14ac:dyDescent="0.25">
      <c r="A46" s="20"/>
      <c r="B46" s="21" t="s">
        <v>89</v>
      </c>
      <c r="C46" s="22" t="s">
        <v>7</v>
      </c>
      <c r="D46" s="23">
        <f>D43*(2.49*2.49-1.21*1.21)*0.68</f>
        <v>57.968640000000015</v>
      </c>
      <c r="E46" s="31" t="s">
        <v>129</v>
      </c>
      <c r="K46" s="24"/>
    </row>
    <row r="47" spans="1:11" s="27" customFormat="1" ht="18" customHeight="1" x14ac:dyDescent="0.25">
      <c r="A47" s="48">
        <v>3</v>
      </c>
      <c r="B47" s="68" t="s">
        <v>91</v>
      </c>
      <c r="C47" s="48"/>
      <c r="D47" s="50"/>
      <c r="E47" s="51"/>
      <c r="K47" s="27">
        <v>48</v>
      </c>
    </row>
    <row r="48" spans="1:11" s="27" customFormat="1" ht="18" customHeight="1" x14ac:dyDescent="0.25">
      <c r="A48" s="18"/>
      <c r="B48" s="14" t="s">
        <v>17</v>
      </c>
      <c r="C48" s="12" t="s">
        <v>5</v>
      </c>
      <c r="D48" s="19">
        <v>138.5</v>
      </c>
      <c r="E48" s="32" t="s">
        <v>52</v>
      </c>
      <c r="K48" s="24">
        <v>49</v>
      </c>
    </row>
    <row r="49" spans="1:19" s="27" customFormat="1" ht="18" customHeight="1" x14ac:dyDescent="0.25">
      <c r="A49" s="18"/>
      <c r="B49" s="45" t="s">
        <v>100</v>
      </c>
      <c r="C49" s="46" t="s">
        <v>5</v>
      </c>
      <c r="D49" s="19">
        <f>D48-1.1*9</f>
        <v>128.6</v>
      </c>
      <c r="E49" s="32"/>
      <c r="K49" s="24"/>
    </row>
    <row r="50" spans="1:19" s="27" customFormat="1" ht="18" customHeight="1" x14ac:dyDescent="0.25">
      <c r="A50" s="18"/>
      <c r="B50" s="45" t="s">
        <v>98</v>
      </c>
      <c r="C50" s="46" t="s">
        <v>7</v>
      </c>
      <c r="D50" s="19">
        <f>D49*0.4</f>
        <v>51.44</v>
      </c>
      <c r="E50" s="32" t="s">
        <v>101</v>
      </c>
      <c r="K50" s="24"/>
    </row>
    <row r="51" spans="1:19" s="33" customFormat="1" ht="18" customHeight="1" x14ac:dyDescent="0.25">
      <c r="A51" s="20"/>
      <c r="B51" s="21" t="s">
        <v>99</v>
      </c>
      <c r="C51" s="22" t="s">
        <v>7</v>
      </c>
      <c r="D51" s="23">
        <f>D49*1.78</f>
        <v>228.90799999999999</v>
      </c>
      <c r="E51" s="31" t="s">
        <v>102</v>
      </c>
      <c r="G51" s="34" t="e">
        <f>D53+#REF!</f>
        <v>#REF!</v>
      </c>
      <c r="K51" s="27">
        <v>52</v>
      </c>
    </row>
    <row r="52" spans="1:19" s="27" customFormat="1" ht="18" customHeight="1" x14ac:dyDescent="0.25">
      <c r="A52" s="20"/>
      <c r="B52" s="21" t="s">
        <v>21</v>
      </c>
      <c r="C52" s="22" t="s">
        <v>5</v>
      </c>
      <c r="D52" s="23">
        <f>D49</f>
        <v>128.6</v>
      </c>
      <c r="E52" s="31"/>
      <c r="K52" s="27">
        <v>54</v>
      </c>
    </row>
    <row r="53" spans="1:19" s="27" customFormat="1" ht="18" customHeight="1" x14ac:dyDescent="0.25">
      <c r="A53" s="20"/>
      <c r="B53" s="21" t="s">
        <v>18</v>
      </c>
      <c r="C53" s="22" t="s">
        <v>15</v>
      </c>
      <c r="D53" s="47">
        <f>D49/2+1</f>
        <v>65.3</v>
      </c>
      <c r="E53" s="31" t="s">
        <v>153</v>
      </c>
      <c r="K53" s="24">
        <v>55</v>
      </c>
    </row>
    <row r="54" spans="1:19" s="27" customFormat="1" ht="18" customHeight="1" x14ac:dyDescent="0.25">
      <c r="A54" s="20"/>
      <c r="B54" s="21" t="s">
        <v>19</v>
      </c>
      <c r="C54" s="22" t="s">
        <v>9</v>
      </c>
      <c r="D54" s="47">
        <f>D53*3</f>
        <v>195.89999999999998</v>
      </c>
      <c r="E54" s="31" t="s">
        <v>20</v>
      </c>
      <c r="K54" s="27">
        <v>56</v>
      </c>
    </row>
    <row r="55" spans="1:19" s="33" customFormat="1" ht="18" customHeight="1" x14ac:dyDescent="0.25">
      <c r="A55" s="20"/>
      <c r="B55" s="44" t="s">
        <v>149</v>
      </c>
      <c r="C55" s="22" t="s">
        <v>7</v>
      </c>
      <c r="D55" s="23">
        <f>D49*0.52</f>
        <v>66.872</v>
      </c>
      <c r="E55" s="31" t="s">
        <v>104</v>
      </c>
      <c r="K55" s="24">
        <v>57</v>
      </c>
    </row>
    <row r="56" spans="1:19" s="33" customFormat="1" ht="18" customHeight="1" x14ac:dyDescent="0.25">
      <c r="A56" s="20"/>
      <c r="B56" s="44" t="s">
        <v>148</v>
      </c>
      <c r="C56" s="22" t="s">
        <v>7</v>
      </c>
      <c r="D56" s="23">
        <f>D49*0.45</f>
        <v>57.87</v>
      </c>
      <c r="E56" s="31" t="s">
        <v>105</v>
      </c>
      <c r="K56" s="27">
        <v>58</v>
      </c>
    </row>
    <row r="57" spans="1:19" s="35" customFormat="1" ht="18" customHeight="1" x14ac:dyDescent="0.25">
      <c r="A57" s="20"/>
      <c r="B57" s="44" t="s">
        <v>103</v>
      </c>
      <c r="C57" s="22" t="s">
        <v>7</v>
      </c>
      <c r="D57" s="23">
        <f>D49*0.38</f>
        <v>48.867999999999995</v>
      </c>
      <c r="E57" s="31" t="s">
        <v>25</v>
      </c>
      <c r="K57" s="24">
        <v>59</v>
      </c>
    </row>
    <row r="58" spans="1:19" s="30" customFormat="1" ht="18" customHeight="1" x14ac:dyDescent="0.25">
      <c r="A58" s="48">
        <v>4</v>
      </c>
      <c r="B58" s="49" t="s">
        <v>106</v>
      </c>
      <c r="C58" s="48"/>
      <c r="D58" s="50"/>
      <c r="E58" s="51"/>
      <c r="K58" s="24">
        <v>65</v>
      </c>
      <c r="S58" s="36"/>
    </row>
    <row r="59" spans="1:19" s="30" customFormat="1" ht="18" customHeight="1" x14ac:dyDescent="0.25">
      <c r="A59" s="20"/>
      <c r="B59" s="21" t="s">
        <v>107</v>
      </c>
      <c r="C59" s="22" t="s">
        <v>5</v>
      </c>
      <c r="D59" s="23">
        <v>11</v>
      </c>
      <c r="E59" s="31" t="s">
        <v>12</v>
      </c>
      <c r="K59" s="24"/>
      <c r="S59" s="36"/>
    </row>
    <row r="60" spans="1:19" s="30" customFormat="1" ht="18" customHeight="1" x14ac:dyDescent="0.25">
      <c r="A60" s="20"/>
      <c r="B60" s="21" t="s">
        <v>98</v>
      </c>
      <c r="C60" s="22" t="s">
        <v>7</v>
      </c>
      <c r="D60" s="23">
        <f>D59*0.35</f>
        <v>3.8499999999999996</v>
      </c>
      <c r="E60" s="31" t="s">
        <v>108</v>
      </c>
      <c r="K60" s="24"/>
      <c r="S60" s="36"/>
    </row>
    <row r="61" spans="1:19" s="30" customFormat="1" ht="18" customHeight="1" x14ac:dyDescent="0.25">
      <c r="A61" s="20"/>
      <c r="B61" s="21" t="s">
        <v>99</v>
      </c>
      <c r="C61" s="22" t="s">
        <v>7</v>
      </c>
      <c r="D61" s="23">
        <f>D59*1.4</f>
        <v>15.399999999999999</v>
      </c>
      <c r="E61" s="31" t="s">
        <v>109</v>
      </c>
      <c r="K61" s="24"/>
      <c r="S61" s="36"/>
    </row>
    <row r="62" spans="1:19" s="30" customFormat="1" ht="18" customHeight="1" x14ac:dyDescent="0.25">
      <c r="A62" s="20"/>
      <c r="B62" s="21" t="s">
        <v>21</v>
      </c>
      <c r="C62" s="22" t="s">
        <v>5</v>
      </c>
      <c r="D62" s="23">
        <f>D59</f>
        <v>11</v>
      </c>
      <c r="E62" s="31"/>
      <c r="K62" s="24"/>
      <c r="S62" s="36"/>
    </row>
    <row r="63" spans="1:19" s="30" customFormat="1" ht="18" customHeight="1" x14ac:dyDescent="0.25">
      <c r="A63" s="20"/>
      <c r="B63" s="21" t="s">
        <v>28</v>
      </c>
      <c r="C63" s="22" t="s">
        <v>15</v>
      </c>
      <c r="D63" s="47">
        <f>D59/2</f>
        <v>5.5</v>
      </c>
      <c r="E63" s="31" t="s">
        <v>153</v>
      </c>
      <c r="K63" s="24"/>
      <c r="S63" s="36"/>
    </row>
    <row r="64" spans="1:19" s="30" customFormat="1" ht="18" customHeight="1" x14ac:dyDescent="0.25">
      <c r="A64" s="20"/>
      <c r="B64" s="21" t="s">
        <v>26</v>
      </c>
      <c r="C64" s="22" t="s">
        <v>9</v>
      </c>
      <c r="D64" s="23">
        <f>6*3</f>
        <v>18</v>
      </c>
      <c r="E64" s="31" t="s">
        <v>20</v>
      </c>
      <c r="K64" s="24"/>
      <c r="S64" s="36"/>
    </row>
    <row r="65" spans="1:19" s="30" customFormat="1" ht="18" customHeight="1" x14ac:dyDescent="0.25">
      <c r="A65" s="20"/>
      <c r="B65" s="21" t="s">
        <v>149</v>
      </c>
      <c r="C65" s="22" t="s">
        <v>7</v>
      </c>
      <c r="D65" s="23">
        <f>D59*0.4</f>
        <v>4.4000000000000004</v>
      </c>
      <c r="E65" s="31" t="s">
        <v>110</v>
      </c>
      <c r="K65" s="24"/>
      <c r="S65" s="36"/>
    </row>
    <row r="66" spans="1:19" s="30" customFormat="1" ht="18" customHeight="1" x14ac:dyDescent="0.25">
      <c r="A66" s="20"/>
      <c r="B66" s="21" t="s">
        <v>148</v>
      </c>
      <c r="C66" s="22" t="s">
        <v>7</v>
      </c>
      <c r="D66" s="23">
        <f>D59*0.4</f>
        <v>4.4000000000000004</v>
      </c>
      <c r="E66" s="31" t="s">
        <v>110</v>
      </c>
      <c r="K66" s="24"/>
      <c r="S66" s="36"/>
    </row>
    <row r="67" spans="1:19" s="30" customFormat="1" ht="18" customHeight="1" x14ac:dyDescent="0.25">
      <c r="A67" s="20"/>
      <c r="B67" s="21" t="s">
        <v>103</v>
      </c>
      <c r="C67" s="22" t="s">
        <v>7</v>
      </c>
      <c r="D67" s="23">
        <f>D59*0.33</f>
        <v>3.6300000000000003</v>
      </c>
      <c r="E67" s="31" t="s">
        <v>111</v>
      </c>
      <c r="K67" s="24"/>
      <c r="S67" s="36"/>
    </row>
    <row r="68" spans="1:19" s="30" customFormat="1" ht="18" customHeight="1" x14ac:dyDescent="0.25">
      <c r="A68" s="48">
        <v>5</v>
      </c>
      <c r="B68" s="49" t="s">
        <v>112</v>
      </c>
      <c r="C68" s="48"/>
      <c r="D68" s="50"/>
      <c r="E68" s="51"/>
      <c r="K68" s="24"/>
      <c r="S68" s="36"/>
    </row>
    <row r="69" spans="1:19" s="30" customFormat="1" ht="18" customHeight="1" x14ac:dyDescent="0.25">
      <c r="A69" s="20"/>
      <c r="B69" s="21" t="s">
        <v>113</v>
      </c>
      <c r="C69" s="22" t="s">
        <v>5</v>
      </c>
      <c r="D69" s="23">
        <v>47</v>
      </c>
      <c r="E69" s="31" t="s">
        <v>12</v>
      </c>
      <c r="K69" s="24"/>
      <c r="S69" s="36"/>
    </row>
    <row r="70" spans="1:19" s="30" customFormat="1" ht="18" customHeight="1" x14ac:dyDescent="0.25">
      <c r="A70" s="20"/>
      <c r="B70" s="21" t="s">
        <v>98</v>
      </c>
      <c r="C70" s="22" t="s">
        <v>7</v>
      </c>
      <c r="D70" s="23">
        <f>D69*0.31</f>
        <v>14.57</v>
      </c>
      <c r="E70" s="31" t="s">
        <v>16</v>
      </c>
      <c r="K70" s="24"/>
      <c r="S70" s="36"/>
    </row>
    <row r="71" spans="1:19" s="30" customFormat="1" ht="18" customHeight="1" x14ac:dyDescent="0.25">
      <c r="A71" s="20"/>
      <c r="B71" s="21" t="s">
        <v>99</v>
      </c>
      <c r="C71" s="22" t="s">
        <v>7</v>
      </c>
      <c r="D71" s="23">
        <f>D69*1.07</f>
        <v>50.290000000000006</v>
      </c>
      <c r="E71" s="31" t="s">
        <v>117</v>
      </c>
      <c r="K71" s="24"/>
      <c r="S71" s="36"/>
    </row>
    <row r="72" spans="1:19" s="30" customFormat="1" ht="18" customHeight="1" x14ac:dyDescent="0.25">
      <c r="A72" s="20"/>
      <c r="B72" s="21" t="s">
        <v>115</v>
      </c>
      <c r="C72" s="22" t="s">
        <v>5</v>
      </c>
      <c r="D72" s="23">
        <f>D69</f>
        <v>47</v>
      </c>
      <c r="E72" s="31"/>
      <c r="K72" s="24"/>
      <c r="S72" s="36"/>
    </row>
    <row r="73" spans="1:19" s="30" customFormat="1" ht="18" customHeight="1" x14ac:dyDescent="0.25">
      <c r="A73" s="20"/>
      <c r="B73" s="21" t="s">
        <v>144</v>
      </c>
      <c r="C73" s="22" t="s">
        <v>15</v>
      </c>
      <c r="D73" s="47">
        <f>D69</f>
        <v>47</v>
      </c>
      <c r="E73" s="31" t="s">
        <v>154</v>
      </c>
      <c r="K73" s="24"/>
      <c r="S73" s="36"/>
    </row>
    <row r="74" spans="1:19" s="30" customFormat="1" ht="18" customHeight="1" x14ac:dyDescent="0.25">
      <c r="A74" s="20"/>
      <c r="B74" s="21" t="s">
        <v>114</v>
      </c>
      <c r="C74" s="22" t="s">
        <v>9</v>
      </c>
      <c r="D74" s="23">
        <f>D73*2</f>
        <v>94</v>
      </c>
      <c r="E74" s="31" t="s">
        <v>116</v>
      </c>
      <c r="K74" s="24"/>
      <c r="S74" s="36"/>
    </row>
    <row r="75" spans="1:19" s="30" customFormat="1" ht="18" customHeight="1" x14ac:dyDescent="0.25">
      <c r="A75" s="20"/>
      <c r="B75" s="21" t="s">
        <v>124</v>
      </c>
      <c r="C75" s="22" t="s">
        <v>7</v>
      </c>
      <c r="D75" s="23">
        <f>D69*0.26</f>
        <v>12.22</v>
      </c>
      <c r="E75" s="31" t="s">
        <v>27</v>
      </c>
      <c r="K75" s="24"/>
      <c r="S75" s="36"/>
    </row>
    <row r="76" spans="1:19" s="30" customFormat="1" ht="18" customHeight="1" x14ac:dyDescent="0.25">
      <c r="A76" s="20"/>
      <c r="B76" s="21" t="s">
        <v>148</v>
      </c>
      <c r="C76" s="22" t="s">
        <v>7</v>
      </c>
      <c r="D76" s="23">
        <f>D69*0.34</f>
        <v>15.98</v>
      </c>
      <c r="E76" s="31" t="s">
        <v>118</v>
      </c>
      <c r="K76" s="24"/>
      <c r="S76" s="36"/>
    </row>
    <row r="77" spans="1:19" s="30" customFormat="1" ht="18" customHeight="1" x14ac:dyDescent="0.25">
      <c r="A77" s="20"/>
      <c r="B77" s="21" t="s">
        <v>103</v>
      </c>
      <c r="C77" s="22" t="s">
        <v>7</v>
      </c>
      <c r="D77" s="23">
        <f>D69*0.3</f>
        <v>14.1</v>
      </c>
      <c r="E77" s="31" t="s">
        <v>119</v>
      </c>
      <c r="K77" s="24"/>
      <c r="S77" s="36"/>
    </row>
    <row r="78" spans="1:19" s="30" customFormat="1" ht="18" customHeight="1" x14ac:dyDescent="0.25">
      <c r="A78" s="48">
        <v>6</v>
      </c>
      <c r="B78" s="49" t="s">
        <v>120</v>
      </c>
      <c r="C78" s="48"/>
      <c r="D78" s="50"/>
      <c r="E78" s="51"/>
      <c r="K78" s="24"/>
      <c r="S78" s="36"/>
    </row>
    <row r="79" spans="1:19" s="30" customFormat="1" ht="18" customHeight="1" x14ac:dyDescent="0.25">
      <c r="A79" s="20"/>
      <c r="B79" s="21" t="s">
        <v>121</v>
      </c>
      <c r="C79" s="22" t="s">
        <v>5</v>
      </c>
      <c r="D79" s="69">
        <v>180</v>
      </c>
      <c r="E79" s="31" t="s">
        <v>12</v>
      </c>
      <c r="K79" s="24"/>
      <c r="S79" s="36"/>
    </row>
    <row r="80" spans="1:19" s="30" customFormat="1" ht="18" customHeight="1" x14ac:dyDescent="0.25">
      <c r="A80" s="20"/>
      <c r="B80" s="21" t="s">
        <v>122</v>
      </c>
      <c r="C80" s="22" t="s">
        <v>7</v>
      </c>
      <c r="D80" s="69">
        <f>D79*0.39</f>
        <v>70.2</v>
      </c>
      <c r="E80" s="31" t="s">
        <v>126</v>
      </c>
      <c r="K80" s="24"/>
      <c r="S80" s="36"/>
    </row>
    <row r="81" spans="1:19" s="30" customFormat="1" ht="18" customHeight="1" x14ac:dyDescent="0.25">
      <c r="A81" s="20"/>
      <c r="B81" s="21" t="s">
        <v>123</v>
      </c>
      <c r="C81" s="22" t="s">
        <v>7</v>
      </c>
      <c r="D81" s="69">
        <f>D79*0.31</f>
        <v>55.8</v>
      </c>
      <c r="E81" s="31" t="s">
        <v>127</v>
      </c>
      <c r="K81" s="24"/>
      <c r="S81" s="36"/>
    </row>
    <row r="82" spans="1:19" s="30" customFormat="1" ht="18" customHeight="1" x14ac:dyDescent="0.25">
      <c r="A82" s="20"/>
      <c r="B82" s="21" t="s">
        <v>125</v>
      </c>
      <c r="C82" s="22" t="s">
        <v>9</v>
      </c>
      <c r="D82" s="69">
        <v>37</v>
      </c>
      <c r="E82" s="31" t="s">
        <v>128</v>
      </c>
      <c r="K82" s="24"/>
      <c r="S82" s="36"/>
    </row>
    <row r="83" spans="1:19" x14ac:dyDescent="0.25">
      <c r="A83" s="5" t="s">
        <v>130</v>
      </c>
      <c r="B83" s="6" t="s">
        <v>131</v>
      </c>
      <c r="C83" s="16"/>
      <c r="D83" s="17"/>
      <c r="E83" s="25"/>
      <c r="G83" s="24">
        <v>1.76</v>
      </c>
      <c r="H83" s="27">
        <f t="shared" ref="H83:H90" si="0">G83+0.5</f>
        <v>2.2599999999999998</v>
      </c>
    </row>
    <row r="84" spans="1:19" x14ac:dyDescent="0.25">
      <c r="A84" s="20"/>
      <c r="B84" s="44" t="s">
        <v>136</v>
      </c>
      <c r="C84" s="22" t="s">
        <v>132</v>
      </c>
      <c r="D84" s="69">
        <f>150*15/10000</f>
        <v>0.22500000000000001</v>
      </c>
      <c r="E84" s="31" t="s">
        <v>141</v>
      </c>
      <c r="G84" s="24">
        <v>1.68</v>
      </c>
      <c r="H84" s="27">
        <f t="shared" si="0"/>
        <v>2.1799999999999997</v>
      </c>
      <c r="K84" s="27"/>
    </row>
    <row r="85" spans="1:19" x14ac:dyDescent="0.25">
      <c r="A85" s="20"/>
      <c r="B85" s="44" t="s">
        <v>137</v>
      </c>
      <c r="C85" s="22" t="s">
        <v>133</v>
      </c>
      <c r="D85" s="69">
        <v>2</v>
      </c>
      <c r="E85" s="31"/>
      <c r="G85" s="24">
        <v>2.0099999999999998</v>
      </c>
      <c r="H85" s="27">
        <f t="shared" si="0"/>
        <v>2.5099999999999998</v>
      </c>
    </row>
    <row r="86" spans="1:19" x14ac:dyDescent="0.25">
      <c r="A86" s="20"/>
      <c r="B86" s="44" t="s">
        <v>138</v>
      </c>
      <c r="C86" s="22" t="s">
        <v>134</v>
      </c>
      <c r="D86" s="69">
        <v>0.15</v>
      </c>
      <c r="E86" s="31"/>
      <c r="G86" s="24">
        <v>0.41</v>
      </c>
      <c r="H86" s="27">
        <f t="shared" si="0"/>
        <v>0.90999999999999992</v>
      </c>
      <c r="K86" s="27"/>
    </row>
    <row r="87" spans="1:19" x14ac:dyDescent="0.25">
      <c r="A87" s="20"/>
      <c r="B87" s="44" t="s">
        <v>139</v>
      </c>
      <c r="C87" s="22" t="s">
        <v>135</v>
      </c>
      <c r="D87" s="69">
        <v>1.5</v>
      </c>
      <c r="E87" s="31"/>
      <c r="G87" s="24">
        <v>1.81</v>
      </c>
      <c r="H87" s="27">
        <f t="shared" si="0"/>
        <v>2.31</v>
      </c>
    </row>
    <row r="88" spans="1:19" x14ac:dyDescent="0.25">
      <c r="A88" s="20"/>
      <c r="B88" s="44" t="s">
        <v>140</v>
      </c>
      <c r="C88" s="22" t="s">
        <v>135</v>
      </c>
      <c r="D88" s="69">
        <f>12*15/100</f>
        <v>1.8</v>
      </c>
      <c r="E88" s="31" t="s">
        <v>142</v>
      </c>
      <c r="G88" s="24">
        <v>1.28</v>
      </c>
      <c r="H88" s="27">
        <f t="shared" si="0"/>
        <v>1.78</v>
      </c>
      <c r="K88" s="27"/>
    </row>
    <row r="89" spans="1:19" x14ac:dyDescent="0.25">
      <c r="D89" s="42"/>
      <c r="G89" s="24">
        <v>2.27</v>
      </c>
      <c r="H89" s="27">
        <f t="shared" si="0"/>
        <v>2.77</v>
      </c>
    </row>
    <row r="90" spans="1:19" x14ac:dyDescent="0.25">
      <c r="D90" s="42"/>
      <c r="G90" s="24">
        <v>3</v>
      </c>
      <c r="H90" s="27">
        <f t="shared" si="0"/>
        <v>3.5</v>
      </c>
    </row>
    <row r="91" spans="1:19" x14ac:dyDescent="0.25">
      <c r="D91" s="42"/>
      <c r="K91" s="27"/>
    </row>
    <row r="92" spans="1:19" x14ac:dyDescent="0.25">
      <c r="D92" s="42"/>
      <c r="H92" s="24">
        <f>SUM(H83:H90)</f>
        <v>18.22</v>
      </c>
    </row>
    <row r="93" spans="1:19" x14ac:dyDescent="0.25">
      <c r="D93" s="42"/>
      <c r="K93" s="27"/>
    </row>
    <row r="94" spans="1:19" x14ac:dyDescent="0.25">
      <c r="D94" s="42"/>
    </row>
    <row r="95" spans="1:19" x14ac:dyDescent="0.25">
      <c r="D95" s="42"/>
      <c r="K95" s="27"/>
    </row>
    <row r="96" spans="1:19" x14ac:dyDescent="0.25">
      <c r="D96" s="42"/>
    </row>
    <row r="97" spans="4:11" x14ac:dyDescent="0.25">
      <c r="D97" s="42"/>
      <c r="K97" s="27"/>
    </row>
    <row r="98" spans="4:11" x14ac:dyDescent="0.25">
      <c r="D98" s="42"/>
    </row>
    <row r="99" spans="4:11" x14ac:dyDescent="0.25">
      <c r="D99" s="42"/>
    </row>
    <row r="100" spans="4:11" x14ac:dyDescent="0.25">
      <c r="D100" s="42"/>
    </row>
    <row r="101" spans="4:11" x14ac:dyDescent="0.25">
      <c r="D101" s="42"/>
    </row>
    <row r="102" spans="4:11" x14ac:dyDescent="0.25">
      <c r="D102" s="42"/>
    </row>
    <row r="103" spans="4:11" x14ac:dyDescent="0.25">
      <c r="D103" s="42"/>
    </row>
    <row r="104" spans="4:11" x14ac:dyDescent="0.25">
      <c r="D104" s="42"/>
    </row>
    <row r="105" spans="4:11" x14ac:dyDescent="0.25">
      <c r="D105" s="42"/>
    </row>
    <row r="106" spans="4:11" x14ac:dyDescent="0.25">
      <c r="D106" s="42"/>
    </row>
    <row r="107" spans="4:11" x14ac:dyDescent="0.25">
      <c r="D107" s="42"/>
    </row>
    <row r="108" spans="4:11" x14ac:dyDescent="0.25">
      <c r="D108" s="42"/>
    </row>
    <row r="109" spans="4:11" x14ac:dyDescent="0.25">
      <c r="D109" s="42"/>
    </row>
  </sheetData>
  <mergeCells count="1">
    <mergeCell ref="A1:E1"/>
  </mergeCells>
  <pageMargins left="0.36" right="0.23622047244094491" top="0.34" bottom="0.3149606299212598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pane ySplit="3" topLeftCell="A4" activePane="bottomLeft" state="frozen"/>
      <selection pane="bottomLeft" activeCell="I27" sqref="I27"/>
    </sheetView>
  </sheetViews>
  <sheetFormatPr defaultRowHeight="15" x14ac:dyDescent="0.25"/>
  <cols>
    <col min="2" max="2" width="13.5703125" customWidth="1"/>
    <col min="3" max="3" width="11" customWidth="1"/>
    <col min="4" max="11" width="15.7109375" customWidth="1"/>
  </cols>
  <sheetData>
    <row r="1" spans="1:11" ht="18" x14ac:dyDescent="0.25">
      <c r="A1" s="82" t="s">
        <v>31</v>
      </c>
      <c r="B1" s="83"/>
      <c r="C1" s="83"/>
      <c r="D1" s="83"/>
      <c r="E1" s="83"/>
      <c r="F1" s="83"/>
      <c r="G1" s="83"/>
      <c r="H1" s="83"/>
      <c r="I1" s="83"/>
      <c r="J1" s="83"/>
      <c r="K1" s="84"/>
    </row>
    <row r="2" spans="1:11" ht="47.25" x14ac:dyDescent="0.25">
      <c r="A2" s="85" t="s">
        <v>32</v>
      </c>
      <c r="B2" s="52" t="s">
        <v>33</v>
      </c>
      <c r="C2" s="70" t="s">
        <v>145</v>
      </c>
      <c r="D2" s="52" t="s">
        <v>34</v>
      </c>
      <c r="E2" s="52" t="s">
        <v>35</v>
      </c>
      <c r="F2" s="52" t="s">
        <v>36</v>
      </c>
      <c r="G2" s="52" t="s">
        <v>37</v>
      </c>
      <c r="H2" s="52" t="s">
        <v>38</v>
      </c>
      <c r="I2" s="52" t="s">
        <v>39</v>
      </c>
      <c r="J2" s="52" t="s">
        <v>40</v>
      </c>
      <c r="K2" s="52" t="s">
        <v>41</v>
      </c>
    </row>
    <row r="3" spans="1:11" ht="15.75" x14ac:dyDescent="0.25">
      <c r="A3" s="86"/>
      <c r="B3" s="53" t="s">
        <v>42</v>
      </c>
      <c r="C3" s="71"/>
      <c r="D3" s="53" t="s">
        <v>43</v>
      </c>
      <c r="E3" s="53" t="s">
        <v>43</v>
      </c>
      <c r="F3" s="53"/>
      <c r="G3" s="53" t="s">
        <v>43</v>
      </c>
      <c r="H3" s="53" t="s">
        <v>44</v>
      </c>
      <c r="I3" s="53" t="s">
        <v>44</v>
      </c>
      <c r="J3" s="53"/>
      <c r="K3" s="53" t="s">
        <v>44</v>
      </c>
    </row>
    <row r="4" spans="1:11" ht="15.75" x14ac:dyDescent="0.25">
      <c r="A4" s="54">
        <v>1</v>
      </c>
      <c r="B4" s="61"/>
      <c r="C4" s="61">
        <v>7</v>
      </c>
      <c r="D4" s="72">
        <v>2.35</v>
      </c>
      <c r="E4" s="61">
        <v>0</v>
      </c>
      <c r="F4" s="61">
        <v>0</v>
      </c>
      <c r="G4" s="61">
        <v>0</v>
      </c>
      <c r="H4" s="61"/>
      <c r="I4" s="61"/>
      <c r="J4" s="61"/>
      <c r="K4" s="61"/>
    </row>
    <row r="5" spans="1:11" ht="15.75" x14ac:dyDescent="0.25">
      <c r="A5" s="55"/>
      <c r="B5" s="56">
        <v>19.63</v>
      </c>
      <c r="C5" s="56"/>
      <c r="D5" s="58"/>
      <c r="E5" s="56"/>
      <c r="F5" s="56"/>
      <c r="G5" s="56"/>
      <c r="H5" s="63">
        <f>(D4+D6)*$B5/2</f>
        <v>35.824749999999995</v>
      </c>
      <c r="I5" s="63">
        <f>(E4+E6)*$B5/2</f>
        <v>0.98150000000000004</v>
      </c>
      <c r="J5" s="63">
        <f>(F4+F6)*$B5/2</f>
        <v>0.29444999999999999</v>
      </c>
      <c r="K5" s="63">
        <f>(G4+G6)*$B5/2</f>
        <v>1.07965</v>
      </c>
    </row>
    <row r="6" spans="1:11" ht="15.75" x14ac:dyDescent="0.25">
      <c r="A6" s="55">
        <v>2</v>
      </c>
      <c r="B6" s="56"/>
      <c r="C6" s="56">
        <v>5</v>
      </c>
      <c r="D6" s="58">
        <f>0.95+0.35</f>
        <v>1.2999999999999998</v>
      </c>
      <c r="E6" s="56">
        <v>0.1</v>
      </c>
      <c r="F6" s="56">
        <v>0.03</v>
      </c>
      <c r="G6" s="56">
        <v>0.11</v>
      </c>
      <c r="H6" s="56"/>
      <c r="I6" s="56"/>
      <c r="J6" s="56"/>
      <c r="K6" s="56"/>
    </row>
    <row r="7" spans="1:11" ht="15.75" x14ac:dyDescent="0.25">
      <c r="A7" s="55"/>
      <c r="B7" s="56">
        <v>16.57</v>
      </c>
      <c r="C7" s="56"/>
      <c r="D7" s="58"/>
      <c r="E7" s="56"/>
      <c r="F7" s="56"/>
      <c r="G7" s="62"/>
      <c r="H7" s="63">
        <f t="shared" ref="H7" si="0">(D6+D8)*$B7/2</f>
        <v>27.257650000000002</v>
      </c>
      <c r="I7" s="63">
        <f t="shared" ref="I7" si="1">(E6+E8)*$B7/2</f>
        <v>0.82850000000000001</v>
      </c>
      <c r="J7" s="63">
        <f t="shared" ref="J7" si="2">(F6+F8)*$B7/2</f>
        <v>0.82850000000000001</v>
      </c>
      <c r="K7" s="63">
        <f t="shared" ref="K7" si="3">(G6+G8)*$B7/2</f>
        <v>1.657</v>
      </c>
    </row>
    <row r="8" spans="1:11" ht="15.75" x14ac:dyDescent="0.25">
      <c r="A8" s="55">
        <v>3</v>
      </c>
      <c r="B8" s="56"/>
      <c r="C8" s="56">
        <v>5</v>
      </c>
      <c r="D8" s="58">
        <f>0.38+1.61</f>
        <v>1.9900000000000002</v>
      </c>
      <c r="E8" s="56">
        <v>0</v>
      </c>
      <c r="F8" s="56">
        <v>7.0000000000000007E-2</v>
      </c>
      <c r="G8" s="56">
        <v>0.09</v>
      </c>
      <c r="H8" s="56"/>
      <c r="I8" s="56"/>
      <c r="J8" s="56"/>
      <c r="K8" s="56"/>
    </row>
    <row r="9" spans="1:11" ht="15.75" x14ac:dyDescent="0.25">
      <c r="A9" s="55"/>
      <c r="B9" s="56">
        <v>14.15</v>
      </c>
      <c r="C9" s="56"/>
      <c r="D9" s="58"/>
      <c r="E9" s="56"/>
      <c r="F9" s="56"/>
      <c r="G9" s="56"/>
      <c r="H9" s="63">
        <f t="shared" ref="H9" si="4">(D8+D10)*$B9/2</f>
        <v>20.446750000000005</v>
      </c>
      <c r="I9" s="63">
        <f t="shared" ref="I9" si="5">(E8+E10)*$B9/2</f>
        <v>0</v>
      </c>
      <c r="J9" s="63">
        <f t="shared" ref="J9" si="6">(F8+F10)*$B9/2</f>
        <v>1.3442499999999999</v>
      </c>
      <c r="K9" s="63">
        <f t="shared" ref="K9" si="7">(G8+G10)*$B9/2</f>
        <v>0.70749999999999991</v>
      </c>
    </row>
    <row r="10" spans="1:11" ht="15.75" x14ac:dyDescent="0.25">
      <c r="A10" s="57">
        <v>4</v>
      </c>
      <c r="B10" s="58"/>
      <c r="C10" s="58">
        <v>5</v>
      </c>
      <c r="D10" s="58">
        <v>0.90000000000000013</v>
      </c>
      <c r="E10" s="58">
        <v>0</v>
      </c>
      <c r="F10" s="58">
        <v>0.12</v>
      </c>
      <c r="G10" s="58">
        <v>0.01</v>
      </c>
      <c r="H10" s="56"/>
      <c r="I10" s="56"/>
      <c r="J10" s="56"/>
      <c r="K10" s="56"/>
    </row>
    <row r="11" spans="1:11" ht="15.75" x14ac:dyDescent="0.25">
      <c r="A11" s="55"/>
      <c r="B11" s="56">
        <v>14.18</v>
      </c>
      <c r="C11" s="56"/>
      <c r="D11" s="58"/>
      <c r="E11" s="56"/>
      <c r="F11" s="56"/>
      <c r="G11" s="56"/>
      <c r="H11" s="63">
        <f t="shared" ref="H11" si="8">(D10+D12)*$B11/2</f>
        <v>14.250899999999998</v>
      </c>
      <c r="I11" s="63">
        <f t="shared" ref="I11" si="9">(E10+E12)*$B11/2</f>
        <v>0</v>
      </c>
      <c r="J11" s="63">
        <f t="shared" ref="J11" si="10">(F10+F12)*$B11/2</f>
        <v>2.5524</v>
      </c>
      <c r="K11" s="63">
        <f t="shared" ref="K11" si="11">(G10+G12)*$B11/2</f>
        <v>0.2127</v>
      </c>
    </row>
    <row r="12" spans="1:11" ht="15.75" x14ac:dyDescent="0.25">
      <c r="A12" s="55" t="s">
        <v>45</v>
      </c>
      <c r="B12" s="56"/>
      <c r="C12" s="56">
        <v>5</v>
      </c>
      <c r="D12" s="58">
        <f>0.16+0.95</f>
        <v>1.1099999999999999</v>
      </c>
      <c r="E12" s="56">
        <v>0</v>
      </c>
      <c r="F12" s="56">
        <v>0.24</v>
      </c>
      <c r="G12" s="56">
        <v>0.02</v>
      </c>
      <c r="H12" s="56"/>
      <c r="I12" s="56"/>
      <c r="J12" s="56"/>
      <c r="K12" s="56"/>
    </row>
    <row r="13" spans="1:11" ht="15.75" x14ac:dyDescent="0.25">
      <c r="A13" s="55"/>
      <c r="B13" s="56">
        <v>9.34</v>
      </c>
      <c r="C13" s="56"/>
      <c r="D13" s="58"/>
      <c r="E13" s="56"/>
      <c r="F13" s="56"/>
      <c r="G13" s="56"/>
      <c r="H13" s="63">
        <f t="shared" ref="H13" si="12">(D12+D14)*$B13/2</f>
        <v>14.423761999999998</v>
      </c>
      <c r="I13" s="63">
        <f t="shared" ref="I13" si="13">(E12+E14)*$B13/2</f>
        <v>0</v>
      </c>
      <c r="J13" s="63">
        <f t="shared" ref="J13" si="14">(F12+F14)*$B13/2</f>
        <v>2.1014999999999997</v>
      </c>
      <c r="K13" s="63">
        <f t="shared" ref="K13" si="15">(G12+G14)*$B13/2</f>
        <v>0.1401</v>
      </c>
    </row>
    <row r="14" spans="1:11" ht="15.75" x14ac:dyDescent="0.25">
      <c r="A14" s="55" t="s">
        <v>46</v>
      </c>
      <c r="B14" s="56"/>
      <c r="C14" s="56">
        <v>6.98</v>
      </c>
      <c r="D14" s="58">
        <f>0.25+1.7286</f>
        <v>1.9785999999999999</v>
      </c>
      <c r="E14" s="56">
        <v>0</v>
      </c>
      <c r="F14" s="56">
        <v>0.21</v>
      </c>
      <c r="G14" s="56">
        <v>0.01</v>
      </c>
      <c r="H14" s="56"/>
      <c r="I14" s="56"/>
      <c r="J14" s="56"/>
      <c r="K14" s="56"/>
    </row>
    <row r="15" spans="1:11" ht="15.75" x14ac:dyDescent="0.25">
      <c r="A15" s="55"/>
      <c r="B15" s="56">
        <v>9.34</v>
      </c>
      <c r="C15" s="56"/>
      <c r="D15" s="58"/>
      <c r="E15" s="56"/>
      <c r="F15" s="56"/>
      <c r="G15" s="56"/>
      <c r="H15" s="63">
        <f t="shared" ref="H15" si="16">(D14+D16)*$B15/2</f>
        <v>16.423455999999998</v>
      </c>
      <c r="I15" s="63">
        <f t="shared" ref="I15" si="17">(E14+E16)*$B15/2</f>
        <v>0</v>
      </c>
      <c r="J15" s="63">
        <f t="shared" ref="J15" si="18">(F14+F16)*$B15/2</f>
        <v>1.7279</v>
      </c>
      <c r="K15" s="63">
        <f t="shared" ref="K15" si="19">(G14+G16)*$B15/2</f>
        <v>4.6699999999999998E-2</v>
      </c>
    </row>
    <row r="16" spans="1:11" ht="15.75" x14ac:dyDescent="0.25">
      <c r="A16" s="55" t="s">
        <v>47</v>
      </c>
      <c r="B16" s="56"/>
      <c r="C16" s="56">
        <v>9.26</v>
      </c>
      <c r="D16" s="58">
        <v>1.5382</v>
      </c>
      <c r="E16" s="56">
        <v>0</v>
      </c>
      <c r="F16" s="56">
        <v>0.16</v>
      </c>
      <c r="G16" s="56">
        <v>0</v>
      </c>
      <c r="H16" s="56"/>
      <c r="I16" s="56"/>
      <c r="J16" s="56"/>
      <c r="K16" s="56"/>
    </row>
    <row r="17" spans="1:11" ht="15.75" x14ac:dyDescent="0.25">
      <c r="A17" s="55"/>
      <c r="B17" s="56">
        <v>10.119999999999999</v>
      </c>
      <c r="C17" s="56"/>
      <c r="D17" s="58"/>
      <c r="E17" s="56"/>
      <c r="F17" s="56"/>
      <c r="G17" s="56"/>
      <c r="H17" s="63">
        <f t="shared" ref="H17" si="20">(D16+D18)*$B17/2</f>
        <v>11.173492</v>
      </c>
      <c r="I17" s="63">
        <f t="shared" ref="I17" si="21">(E16+E18)*$B17/2</f>
        <v>0</v>
      </c>
      <c r="J17" s="63">
        <f t="shared" ref="J17" si="22">(F16+F18)*$B17/2</f>
        <v>1.8215999999999999</v>
      </c>
      <c r="K17" s="63">
        <f t="shared" ref="K17" si="23">(G16+G18)*$B17/2</f>
        <v>0</v>
      </c>
    </row>
    <row r="18" spans="1:11" ht="15.75" x14ac:dyDescent="0.25">
      <c r="A18" s="55" t="s">
        <v>48</v>
      </c>
      <c r="B18" s="56"/>
      <c r="C18" s="56">
        <v>4</v>
      </c>
      <c r="D18" s="58">
        <v>0.67</v>
      </c>
      <c r="E18" s="56">
        <v>0</v>
      </c>
      <c r="F18" s="56">
        <v>0.2</v>
      </c>
      <c r="G18" s="56">
        <v>0</v>
      </c>
      <c r="H18" s="56"/>
      <c r="I18" s="56"/>
      <c r="J18" s="56"/>
      <c r="K18" s="56"/>
    </row>
    <row r="19" spans="1:11" ht="15.75" x14ac:dyDescent="0.25">
      <c r="A19" s="55"/>
      <c r="B19" s="56">
        <v>11.87</v>
      </c>
      <c r="C19" s="56"/>
      <c r="D19" s="58"/>
      <c r="E19" s="56"/>
      <c r="F19" s="56"/>
      <c r="G19" s="56"/>
      <c r="H19" s="63">
        <f t="shared" ref="H19" si="24">(D18+D20)*$B19/2</f>
        <v>9.9607104999999994</v>
      </c>
      <c r="I19" s="63">
        <f t="shared" ref="I19" si="25">(E18+E20)*$B19/2</f>
        <v>0</v>
      </c>
      <c r="J19" s="63">
        <f t="shared" ref="J19" si="26">(F18+F20)*$B19/2</f>
        <v>1.4837499999999999</v>
      </c>
      <c r="K19" s="63">
        <f t="shared" ref="K19" si="27">(G18+G20)*$B19/2</f>
        <v>0.1187</v>
      </c>
    </row>
    <row r="20" spans="1:11" ht="15.75" x14ac:dyDescent="0.25">
      <c r="A20" s="55" t="s">
        <v>49</v>
      </c>
      <c r="B20" s="56"/>
      <c r="C20" s="56">
        <v>4.6900000000000004</v>
      </c>
      <c r="D20" s="58">
        <v>1.0083000000000002</v>
      </c>
      <c r="E20" s="56">
        <v>0</v>
      </c>
      <c r="F20" s="56">
        <v>0.05</v>
      </c>
      <c r="G20" s="56">
        <v>0.02</v>
      </c>
      <c r="H20" s="56"/>
      <c r="I20" s="56"/>
      <c r="J20" s="56"/>
      <c r="K20" s="56"/>
    </row>
    <row r="21" spans="1:11" ht="15.75" x14ac:dyDescent="0.25">
      <c r="A21" s="55"/>
      <c r="B21" s="56">
        <v>11.87</v>
      </c>
      <c r="C21" s="56"/>
      <c r="D21" s="58"/>
      <c r="E21" s="56"/>
      <c r="F21" s="56"/>
      <c r="G21" s="56"/>
      <c r="H21" s="63">
        <f t="shared" ref="H21" si="28">(D20+D22)*$B21/2</f>
        <v>19.338010499999999</v>
      </c>
      <c r="I21" s="63">
        <f t="shared" ref="I21" si="29">(E20+E22)*$B21/2</f>
        <v>0</v>
      </c>
      <c r="J21" s="63">
        <f t="shared" ref="J21" si="30">(F20+F22)*$B21/2</f>
        <v>2.8487999999999998</v>
      </c>
      <c r="K21" s="63">
        <f t="shared" ref="K21" si="31">(G20+G22)*$B21/2</f>
        <v>0.1187</v>
      </c>
    </row>
    <row r="22" spans="1:11" ht="15.75" x14ac:dyDescent="0.25">
      <c r="A22" s="55" t="s">
        <v>50</v>
      </c>
      <c r="B22" s="56"/>
      <c r="C22" s="56">
        <v>7</v>
      </c>
      <c r="D22" s="58">
        <v>2.25</v>
      </c>
      <c r="E22" s="56">
        <v>0</v>
      </c>
      <c r="F22" s="56">
        <v>0.43</v>
      </c>
      <c r="G22" s="56">
        <v>0</v>
      </c>
      <c r="H22" s="56"/>
      <c r="I22" s="56"/>
      <c r="J22" s="56"/>
      <c r="K22" s="56"/>
    </row>
    <row r="23" spans="1:11" ht="15.75" x14ac:dyDescent="0.25">
      <c r="A23" s="55"/>
      <c r="B23" s="56">
        <v>19.53</v>
      </c>
      <c r="C23" s="56"/>
      <c r="D23" s="58"/>
      <c r="E23" s="56"/>
      <c r="F23" s="56"/>
      <c r="G23" s="56"/>
      <c r="H23" s="63">
        <f t="shared" ref="H23" si="32">(D22+D24)*$B23/2</f>
        <v>48.350420999999997</v>
      </c>
      <c r="I23" s="63">
        <f t="shared" ref="I23" si="33">(E22+E24)*$B23/2</f>
        <v>0</v>
      </c>
      <c r="J23" s="63">
        <f t="shared" ref="J23" si="34">(F22+F24)*$B23/2</f>
        <v>8.3002500000000001</v>
      </c>
      <c r="K23" s="63">
        <f t="shared" ref="K23" si="35">(G22+G24)*$B23/2</f>
        <v>0.87885000000000002</v>
      </c>
    </row>
    <row r="24" spans="1:11" ht="15.75" x14ac:dyDescent="0.25">
      <c r="A24" s="55">
        <v>5</v>
      </c>
      <c r="B24" s="56"/>
      <c r="C24" s="56">
        <v>8.02</v>
      </c>
      <c r="D24" s="58">
        <v>2.7014</v>
      </c>
      <c r="E24" s="56">
        <v>0</v>
      </c>
      <c r="F24" s="56">
        <v>0.42</v>
      </c>
      <c r="G24" s="56">
        <v>0.09</v>
      </c>
      <c r="H24" s="56"/>
      <c r="I24" s="56"/>
      <c r="J24" s="56"/>
      <c r="K24" s="56"/>
    </row>
    <row r="25" spans="1:11" ht="15.75" x14ac:dyDescent="0.25">
      <c r="A25" s="55"/>
      <c r="B25" s="56">
        <v>12.21</v>
      </c>
      <c r="C25" s="56"/>
      <c r="D25" s="58"/>
      <c r="E25" s="56"/>
      <c r="F25" s="56"/>
      <c r="G25" s="56"/>
      <c r="H25" s="63">
        <f t="shared" ref="H25" si="36">(D24+D26)*$B25/2</f>
        <v>37.314370500000003</v>
      </c>
      <c r="I25" s="63">
        <f t="shared" ref="I25" si="37">(E24+E26)*$B25/2</f>
        <v>0</v>
      </c>
      <c r="J25" s="63">
        <f t="shared" ref="J25" si="38">(F24+F26)*$B25/2</f>
        <v>6.532350000000001</v>
      </c>
      <c r="K25" s="63">
        <f t="shared" ref="K25" si="39">(G24+G26)*$B25/2</f>
        <v>0.54944999999999999</v>
      </c>
    </row>
    <row r="26" spans="1:11" ht="15.75" x14ac:dyDescent="0.25">
      <c r="A26" s="55">
        <v>6</v>
      </c>
      <c r="B26" s="56"/>
      <c r="C26" s="56">
        <v>10.01</v>
      </c>
      <c r="D26" s="58">
        <v>3.4107000000000003</v>
      </c>
      <c r="E26" s="56">
        <v>0</v>
      </c>
      <c r="F26" s="56">
        <v>0.65</v>
      </c>
      <c r="G26" s="56">
        <v>0</v>
      </c>
      <c r="H26" s="56"/>
      <c r="I26" s="56"/>
      <c r="J26" s="56"/>
      <c r="K26" s="56"/>
    </row>
    <row r="27" spans="1:11" ht="18.75" x14ac:dyDescent="0.25">
      <c r="A27" s="59" t="s">
        <v>51</v>
      </c>
      <c r="B27" s="60">
        <f>SUM(B5:B26)</f>
        <v>148.81000000000003</v>
      </c>
      <c r="C27" s="60"/>
      <c r="D27" s="73"/>
      <c r="E27" s="60"/>
      <c r="F27" s="60"/>
      <c r="G27" s="60"/>
      <c r="H27" s="60">
        <f>SUM(H5:H26)</f>
        <v>254.7642725</v>
      </c>
      <c r="I27" s="60">
        <f>SUM(I5:I26)</f>
        <v>1.81</v>
      </c>
      <c r="J27" s="60">
        <f>SUM(J5:J26)</f>
        <v>29.835750000000004</v>
      </c>
      <c r="K27" s="60">
        <f>SUM(K5:K26)</f>
        <v>5.5093499999999995</v>
      </c>
    </row>
  </sheetData>
  <mergeCells count="2">
    <mergeCell ref="A1:K1"/>
    <mergeCell ref="A2:A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TONG HOP</vt:lpstr>
      <vt:lpstr>BANG KL NEN MAT NGO</vt:lpstr>
      <vt:lpstr>'TONG HOP'!Print_Area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DELL</cp:lastModifiedBy>
  <cp:lastPrinted>2021-05-20T03:48:39Z</cp:lastPrinted>
  <dcterms:created xsi:type="dcterms:W3CDTF">2019-04-20T01:24:34Z</dcterms:created>
  <dcterms:modified xsi:type="dcterms:W3CDTF">2022-04-18T09:38:04Z</dcterms:modified>
</cp:coreProperties>
</file>