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1. CONG VIEC LCDI\CV 2022\4. QUAN NGO QUYEN\3. NGO 384 LACH TRAY\2. THIET KE BVTC\1. THIET KE\2. BAN VE - SUA\"/>
    </mc:Choice>
  </mc:AlternateContent>
  <bookViews>
    <workbookView xWindow="0" yWindow="0" windowWidth="20730" windowHeight="11760" firstSheet="1" activeTab="1"/>
  </bookViews>
  <sheets>
    <sheet name="foxz" sheetId="2" state="veryHidden" r:id="rId1"/>
    <sheet name="TONG HOP" sheetId="1" r:id="rId2"/>
    <sheet name="BANG KL TUYEN 1" sheetId="3" r:id="rId3"/>
    <sheet name="BANG KL TUYEN 2" sheetId="11" r:id="rId4"/>
    <sheet name="BANG KL TUYEN 3" sheetId="5" r:id="rId5"/>
    <sheet name="BANG KL TUYEN 4" sheetId="6" r:id="rId6"/>
    <sheet name="BANG KL TUYEN 5" sheetId="7" r:id="rId7"/>
    <sheet name="BANG KL TUYEN 6" sheetId="8" r:id="rId8"/>
    <sheet name="BANG KL TUYEN 7" sheetId="9" r:id="rId9"/>
    <sheet name="BANG KL TUYEN 8" sheetId="10" r:id="rId10"/>
  </sheets>
  <definedNames>
    <definedName name="_xlnm.Print_Area" localSheetId="1">'TONG HOP'!$A$1:$E$114</definedName>
  </definedNames>
  <calcPr calcId="152511"/>
</workbook>
</file>

<file path=xl/calcChain.xml><?xml version="1.0" encoding="utf-8"?>
<calcChain xmlns="http://schemas.openxmlformats.org/spreadsheetml/2006/main">
  <c r="K4" i="7" l="1"/>
  <c r="D8" i="6"/>
  <c r="D10" i="6"/>
  <c r="D12" i="6"/>
  <c r="D6" i="6"/>
  <c r="D4" i="6"/>
  <c r="D8" i="5"/>
  <c r="D10" i="5"/>
  <c r="D12" i="5"/>
  <c r="D6" i="5"/>
  <c r="D4" i="5"/>
  <c r="D6" i="11"/>
  <c r="D8" i="11"/>
  <c r="D10" i="11"/>
  <c r="D12" i="11"/>
  <c r="D4" i="11"/>
  <c r="D126" i="1" l="1"/>
  <c r="D122" i="1"/>
  <c r="D30" i="1"/>
  <c r="D113" i="1"/>
  <c r="D109" i="1"/>
  <c r="D112" i="1" s="1"/>
  <c r="D99" i="1"/>
  <c r="D114" i="1" l="1"/>
  <c r="D110" i="1"/>
  <c r="D111" i="1"/>
  <c r="D96" i="1"/>
  <c r="D95" i="1"/>
  <c r="D93" i="1"/>
  <c r="D92" i="1"/>
  <c r="D91" i="1"/>
  <c r="D89" i="1"/>
  <c r="D87" i="1"/>
  <c r="D86" i="1"/>
  <c r="D85" i="1"/>
  <c r="D79" i="1" l="1"/>
  <c r="D77" i="1"/>
  <c r="C25" i="7"/>
  <c r="C15" i="6"/>
  <c r="C15" i="5"/>
  <c r="D66" i="1"/>
  <c r="D67" i="1" s="1"/>
  <c r="D68" i="1" s="1"/>
  <c r="D71" i="1"/>
  <c r="D73" i="1" s="1"/>
  <c r="D74" i="1" s="1"/>
  <c r="D75" i="1" s="1"/>
  <c r="D9" i="1"/>
  <c r="D8" i="1"/>
  <c r="D7" i="1"/>
  <c r="D6" i="1"/>
  <c r="D76" i="1" l="1"/>
  <c r="C13" i="11"/>
  <c r="C15" i="11" s="1"/>
  <c r="B13" i="11"/>
  <c r="G11" i="11"/>
  <c r="F11" i="11"/>
  <c r="G9" i="11"/>
  <c r="F9" i="11"/>
  <c r="G7" i="11"/>
  <c r="F7" i="11"/>
  <c r="G5" i="11"/>
  <c r="F5" i="11"/>
  <c r="C15" i="10"/>
  <c r="B15" i="10"/>
  <c r="G13" i="10"/>
  <c r="F13" i="10"/>
  <c r="G11" i="10"/>
  <c r="F11" i="10"/>
  <c r="G9" i="10"/>
  <c r="F9" i="10"/>
  <c r="G7" i="10"/>
  <c r="F7" i="10"/>
  <c r="G5" i="10"/>
  <c r="F5" i="10"/>
  <c r="B15" i="9"/>
  <c r="F7" i="9"/>
  <c r="G7" i="9"/>
  <c r="F9" i="9"/>
  <c r="G9" i="9"/>
  <c r="F11" i="9"/>
  <c r="G11" i="9"/>
  <c r="F13" i="9"/>
  <c r="G13" i="9"/>
  <c r="C15" i="9"/>
  <c r="G5" i="9"/>
  <c r="F5" i="9"/>
  <c r="C9" i="8"/>
  <c r="B9" i="8"/>
  <c r="G7" i="8"/>
  <c r="F7" i="8"/>
  <c r="G5" i="8"/>
  <c r="G9" i="8" s="1"/>
  <c r="F5" i="8"/>
  <c r="F9" i="8" s="1"/>
  <c r="F7" i="7"/>
  <c r="G7" i="7"/>
  <c r="F9" i="7"/>
  <c r="G9" i="7"/>
  <c r="F11" i="7"/>
  <c r="G11" i="7"/>
  <c r="F13" i="7"/>
  <c r="G13" i="7"/>
  <c r="F15" i="7"/>
  <c r="G15" i="7"/>
  <c r="F17" i="7"/>
  <c r="G17" i="7"/>
  <c r="F19" i="7"/>
  <c r="G19" i="7"/>
  <c r="F21" i="7"/>
  <c r="G21" i="7"/>
  <c r="C23" i="7"/>
  <c r="B23" i="7"/>
  <c r="G5" i="7"/>
  <c r="F5" i="7"/>
  <c r="C13" i="6"/>
  <c r="B13" i="6"/>
  <c r="G11" i="6"/>
  <c r="F11" i="6"/>
  <c r="G9" i="6"/>
  <c r="F9" i="6"/>
  <c r="G7" i="6"/>
  <c r="F7" i="6"/>
  <c r="G5" i="6"/>
  <c r="F5" i="6"/>
  <c r="C13" i="5"/>
  <c r="B13" i="5"/>
  <c r="G11" i="5"/>
  <c r="F11" i="5"/>
  <c r="G9" i="5"/>
  <c r="F9" i="5"/>
  <c r="G7" i="5"/>
  <c r="F7" i="5"/>
  <c r="G5" i="5"/>
  <c r="F5" i="5"/>
  <c r="D12" i="1" l="1"/>
  <c r="C17" i="10"/>
  <c r="C17" i="9"/>
  <c r="D11" i="1"/>
  <c r="F15" i="9"/>
  <c r="C11" i="8"/>
  <c r="D69" i="1" s="1"/>
  <c r="D10" i="1"/>
  <c r="G13" i="11"/>
  <c r="D64" i="1" s="1"/>
  <c r="F13" i="11"/>
  <c r="F15" i="10"/>
  <c r="G15" i="10"/>
  <c r="G15" i="9"/>
  <c r="G23" i="7"/>
  <c r="F23" i="7"/>
  <c r="D63" i="1" s="1"/>
  <c r="F13" i="6"/>
  <c r="G13" i="6"/>
  <c r="G13" i="5"/>
  <c r="F13" i="5"/>
  <c r="D50" i="1"/>
  <c r="D46" i="1"/>
  <c r="D33" i="1"/>
  <c r="E7" i="3" l="1"/>
  <c r="F7" i="3"/>
  <c r="E9" i="3"/>
  <c r="F9" i="3"/>
  <c r="E11" i="3"/>
  <c r="F11" i="3"/>
  <c r="E13" i="3"/>
  <c r="F13" i="3"/>
  <c r="E15" i="3"/>
  <c r="F15" i="3"/>
  <c r="E17" i="3"/>
  <c r="F17" i="3"/>
  <c r="E19" i="3"/>
  <c r="F19" i="3"/>
  <c r="E21" i="3"/>
  <c r="F21" i="3"/>
  <c r="E23" i="3"/>
  <c r="F23" i="3"/>
  <c r="E25" i="3"/>
  <c r="F25" i="3"/>
  <c r="E27" i="3"/>
  <c r="F27" i="3"/>
  <c r="E29" i="3"/>
  <c r="F29" i="3"/>
  <c r="E31" i="3"/>
  <c r="F31" i="3"/>
  <c r="E33" i="3"/>
  <c r="F33" i="3"/>
  <c r="E35" i="3"/>
  <c r="F35" i="3"/>
  <c r="E37" i="3"/>
  <c r="F37" i="3"/>
  <c r="E39" i="3"/>
  <c r="F39" i="3"/>
  <c r="E41" i="3"/>
  <c r="F41" i="3"/>
  <c r="E43" i="3"/>
  <c r="F43" i="3"/>
  <c r="E45" i="3"/>
  <c r="F45" i="3"/>
  <c r="D118" i="1" l="1"/>
  <c r="D117" i="1"/>
  <c r="D105" i="1" l="1"/>
  <c r="D104" i="1"/>
  <c r="D100" i="1"/>
  <c r="D106" i="1"/>
  <c r="D102" i="1"/>
  <c r="D101" i="1"/>
  <c r="D80" i="1" l="1"/>
  <c r="D13" i="1"/>
  <c r="F5" i="3"/>
  <c r="B49" i="3"/>
  <c r="D5" i="1" s="1"/>
  <c r="D4" i="1" s="1"/>
  <c r="E5" i="3"/>
  <c r="D81" i="1" l="1"/>
  <c r="D29" i="1"/>
  <c r="F49" i="3"/>
  <c r="D72" i="1" s="1"/>
  <c r="D78" i="1"/>
  <c r="E49" i="3"/>
  <c r="D56" i="1" s="1"/>
  <c r="D28" i="1" l="1"/>
  <c r="D57" i="1"/>
  <c r="D58" i="1"/>
  <c r="D59" i="1" s="1"/>
  <c r="D60" i="1" s="1"/>
  <c r="D61" i="1" s="1"/>
  <c r="D103" i="1"/>
</calcChain>
</file>

<file path=xl/sharedStrings.xml><?xml version="1.0" encoding="utf-8"?>
<sst xmlns="http://schemas.openxmlformats.org/spreadsheetml/2006/main" count="490" uniqueCount="203">
  <si>
    <t>STT</t>
  </si>
  <si>
    <t>Hạng mục công việc</t>
  </si>
  <si>
    <t>Đơn vị</t>
  </si>
  <si>
    <t>Khối lượng</t>
  </si>
  <si>
    <t>I</t>
  </si>
  <si>
    <t>m</t>
  </si>
  <si>
    <t>m2</t>
  </si>
  <si>
    <t>m3</t>
  </si>
  <si>
    <t>II</t>
  </si>
  <si>
    <t>cái</t>
  </si>
  <si>
    <t>Diễn giải</t>
  </si>
  <si>
    <t>Bình đồ TK</t>
  </si>
  <si>
    <t>HẠNG MỤC: NỀN MẶT NGÕ</t>
  </si>
  <si>
    <t>HẠNG MỤC: HỆ THỐNG THOÁT NƯỚC</t>
  </si>
  <si>
    <t>đốt</t>
  </si>
  <si>
    <t>0,31m2/m</t>
  </si>
  <si>
    <t>- Chiều dài tim tuyến cống D500:</t>
  </si>
  <si>
    <t>- Số đốt cống BTCT D500 (đốt cống dài 2m)</t>
  </si>
  <si>
    <t>- Gối cống D500</t>
  </si>
  <si>
    <t>03 gối cống/đốt cống dài 2m</t>
  </si>
  <si>
    <t>- Tổng chiều dài lớp lót móng cống</t>
  </si>
  <si>
    <t>- Diện tích lớp bê tông nhựa rải nóng BTN C12,5 sau lu lèn dày 5cm:</t>
  </si>
  <si>
    <t>- Diện tích lớp nhựa dính bám tiêu chuẩn 0,5 kg/m2:</t>
  </si>
  <si>
    <t>- Diện tích lớp nhựa thấm bám tiêu chuẩn 1,0 kg/m2:</t>
  </si>
  <si>
    <t>cống cấp tải tiêu chuẩn</t>
  </si>
  <si>
    <t>- Chiều dài bó vỉa:</t>
  </si>
  <si>
    <t>viên</t>
  </si>
  <si>
    <t>Tªn cäc</t>
  </si>
  <si>
    <t>K/c lÎ</t>
  </si>
  <si>
    <t>S ®µo khu«n ®­êng</t>
  </si>
  <si>
    <t>S §µo khu«n vØa hÌ</t>
  </si>
  <si>
    <t>V ®µo khu«n ®­êng</t>
  </si>
  <si>
    <t>V ®µo khu«n vØa hÌ</t>
  </si>
  <si>
    <t>(m)</t>
  </si>
  <si>
    <t>(m2)</t>
  </si>
  <si>
    <t>(m3)</t>
  </si>
  <si>
    <t>TD1</t>
  </si>
  <si>
    <t>P1</t>
  </si>
  <si>
    <t>TC1</t>
  </si>
  <si>
    <t>Tæng</t>
  </si>
  <si>
    <t>TD thiết kế</t>
  </si>
  <si>
    <t>- Diện tích lớp CPĐD loại 1 dày 20cm đầm chặt:</t>
  </si>
  <si>
    <t>- Khối lượng đào khuôn vỉa hè (đất cấp II):</t>
  </si>
  <si>
    <t>+ Khối lượng vỉa hè (diện tích đã trừ bó vỉa chiếm chỗ):</t>
  </si>
  <si>
    <t xml:space="preserve">          + Số viên bó vỉa loại 1 (L=99cm):</t>
  </si>
  <si>
    <t xml:space="preserve">          + Số viên bó vỉa loại 2 (L=49cm):</t>
  </si>
  <si>
    <t>- Chiều dài viên đan rãnh:</t>
  </si>
  <si>
    <t xml:space="preserve">          + Số viên đan rãnh:</t>
  </si>
  <si>
    <t>Bằng chiều dài bó vỉa</t>
  </si>
  <si>
    <t>- Chiều dài bó hè:</t>
  </si>
  <si>
    <t>∑ (bó vỉa 1+…+bó vỉa 4) - Bình đồ TK</t>
  </si>
  <si>
    <t>Xây mới ga loại 1 (ga thăm, thoát nước cống D500):</t>
  </si>
  <si>
    <t>ga</t>
  </si>
  <si>
    <t>Bình  đồ TK</t>
  </si>
  <si>
    <t>- Đắp cát đầm chặt k95 hố móng ga:</t>
  </si>
  <si>
    <t>Cống BTCT D500:</t>
  </si>
  <si>
    <t>- Đắp cấp phối đá dăm loại 2 hố móng ga (dày 20cm):</t>
  </si>
  <si>
    <t>- Đào móng cống đất cấp II:</t>
  </si>
  <si>
    <t>- Ống cống BTCT D500 (đã trừ giao ga):</t>
  </si>
  <si>
    <t>- Cấp phối loại 2 đầm chặt dày 20cm:</t>
  </si>
  <si>
    <t>0,40m2/m</t>
  </si>
  <si>
    <t>Cống BTCT D300:</t>
  </si>
  <si>
    <t>- Chiều dài tim tuyến cống D300:</t>
  </si>
  <si>
    <t>- Gối cống D300:</t>
  </si>
  <si>
    <t>- Tổng chiều dài lớp lót móng cống:</t>
  </si>
  <si>
    <t>02 gối cống/đốt cống dài 1m</t>
  </si>
  <si>
    <t>Ống nhựa u.PVC D200</t>
  </si>
  <si>
    <t>- Chiều dài ống nhựa u.PVC D200-C3:</t>
  </si>
  <si>
    <t>- Đào móng lắp đặt ống D200 (đất cấp II):</t>
  </si>
  <si>
    <t>- Đắp cát đầm chặt k=0.95:</t>
  </si>
  <si>
    <t>- Cát đen đầm chặt k=0.95 :</t>
  </si>
  <si>
    <t>0,39m2/m</t>
  </si>
  <si>
    <t>III</t>
  </si>
  <si>
    <t>HẠNG MỤC : KHẢO SÁT ĐỊA HÌNH</t>
  </si>
  <si>
    <t>ha</t>
  </si>
  <si>
    <t>điểm</t>
  </si>
  <si>
    <t>km</t>
  </si>
  <si>
    <t>100m</t>
  </si>
  <si>
    <t>- Đo vẽ bản đồ địa hình hiện trạng tỉ lệ 1/500, đường đồng mức 0,5m, địa hình cấp II:</t>
  </si>
  <si>
    <t>- Lập đường chuyền cấp II:</t>
  </si>
  <si>
    <t>- Thủy chuẩn kỹ thuật, địa hình cấp II:</t>
  </si>
  <si>
    <t>- Đo vẽ mặt cắt dọc tuyến:</t>
  </si>
  <si>
    <t>- Đo vẽ mặt cắt ngang:</t>
  </si>
  <si>
    <t>- Diện tích lớp bê tông nhựa rải nóng BTN C19 sau lu lèn dày 7cm:</t>
  </si>
  <si>
    <t>- Số đốt cống BTCT D300 (đốt cống dài 1m):</t>
  </si>
  <si>
    <t>Tổng chiều dài các tuyến ngõ:</t>
  </si>
  <si>
    <t>Tổng diện tích mặt ngõ (chưa trừ mặt hố ga... chiếm chỗ):</t>
  </si>
  <si>
    <t>Khối lượng nền mặt ngõ, vỉa hè:</t>
  </si>
  <si>
    <t>Tổng diện tích mặt ngõ (đã trừ hố ga chiếm chỗ):</t>
  </si>
  <si>
    <t>BẢNG TÍNH KHỐI LƯỢNG NỀN MẶT NGÕ TUYẾN 1</t>
  </si>
  <si>
    <t>((m2)</t>
  </si>
  <si>
    <t>D1</t>
  </si>
  <si>
    <t>D2</t>
  </si>
  <si>
    <t>D3</t>
  </si>
  <si>
    <t>D4</t>
  </si>
  <si>
    <t>D6</t>
  </si>
  <si>
    <t>D7</t>
  </si>
  <si>
    <t>D8</t>
  </si>
  <si>
    <t>12A</t>
  </si>
  <si>
    <t>3a</t>
  </si>
  <si>
    <t>3b</t>
  </si>
  <si>
    <t>Tuyến 1</t>
  </si>
  <si>
    <t>Các tuyến và mở rộng còn lại</t>
  </si>
  <si>
    <t>- Tuyến 1:</t>
  </si>
  <si>
    <t>- Tuyến 2:</t>
  </si>
  <si>
    <t>- Tuyến 3:</t>
  </si>
  <si>
    <t>- Tuyến 4:</t>
  </si>
  <si>
    <t>- Tuyến 5:</t>
  </si>
  <si>
    <t>- Tuyến 6:</t>
  </si>
  <si>
    <t>- Tuyến 7:</t>
  </si>
  <si>
    <t>- Tuyến 8:</t>
  </si>
  <si>
    <t>4a</t>
  </si>
  <si>
    <t>4b</t>
  </si>
  <si>
    <t>4c</t>
  </si>
  <si>
    <t>Vỉa hè:</t>
  </si>
  <si>
    <t>- Khối lượng đào khuôn đường (đá 2x4 hỗn hợp):</t>
  </si>
  <si>
    <t>4d</t>
  </si>
  <si>
    <t>Phá dỡ hiện trạng:</t>
  </si>
  <si>
    <t>+ Tuyến 3:</t>
  </si>
  <si>
    <t>+ Tuyến 4:</t>
  </si>
  <si>
    <t>+ Tuyến 5:</t>
  </si>
  <si>
    <t>+ Tuyến 6:</t>
  </si>
  <si>
    <t>+ Tuyến 7:</t>
  </si>
  <si>
    <t>+ Tuyến 8:</t>
  </si>
  <si>
    <t>+ Mở rộng 1:</t>
  </si>
  <si>
    <t>+ Mở rộng 2:</t>
  </si>
  <si>
    <t>+ Mở rộng 3:</t>
  </si>
  <si>
    <t>+ Mở rộng 4:</t>
  </si>
  <si>
    <t>+ Mở rộng 5:</t>
  </si>
  <si>
    <t>+ Mở rộng 6:</t>
  </si>
  <si>
    <t>+ Vỉa hè 1:</t>
  </si>
  <si>
    <t>∑ (các tuyến nhánh+các mở rộng) trừ tuyến 2</t>
  </si>
  <si>
    <t>+ Vỉa hè 2:</t>
  </si>
  <si>
    <t>+ Vỉa hè 3:</t>
  </si>
  <si>
    <t>- Bỏ vỉa hiện trạng:</t>
  </si>
  <si>
    <t>∑(vỉa hè 1+vỉa hè 2+vỉa hè 3)</t>
  </si>
  <si>
    <t>+ Bó vỉa 1:</t>
  </si>
  <si>
    <t>+ Bó vỉa 2</t>
  </si>
  <si>
    <t>+ Bó vỉa 3:</t>
  </si>
  <si>
    <t>+ Bó vỉa 4:</t>
  </si>
  <si>
    <t>∑(bó vỉa 1+….+bó vỉa 4)</t>
  </si>
  <si>
    <t>Mặt đường bê tông nhựa (tuyến 1):</t>
  </si>
  <si>
    <t>Mặt đường bê tông xi măng (các tuyến nhánh và mở rộng):</t>
  </si>
  <si>
    <t>BẢNG TÍNH KHỐI LƯỢNG NỀN MẶT NGÕ TUYẾN 2</t>
  </si>
  <si>
    <t>S §¾p nÒn ®­êng</t>
  </si>
  <si>
    <t>V ®¾p nÒn ®­êng</t>
  </si>
  <si>
    <t>BẢNG TÍNH KHỐI LƯỢNG NỀN MẶT NGÕ TUYẾN 3</t>
  </si>
  <si>
    <t>B ngâ TB</t>
  </si>
  <si>
    <t>BẢNG TÍNH KHỐI LƯỢNG NỀN MẶT NGÕ TUYẾN 4</t>
  </si>
  <si>
    <t>BẢNG TÍNH KHỐI LƯỢNG NỀN MẶT NGÕ TUYẾN 5</t>
  </si>
  <si>
    <t>D5</t>
  </si>
  <si>
    <t>BẢNG TÍNH KHỐI LƯỢNG NỀN MẶT NGÕ TUYẾN 6</t>
  </si>
  <si>
    <t>BẢNG TÍNH KHỐI LƯỢNG NỀN MẶT NGÕ TUYẾN 7</t>
  </si>
  <si>
    <t>BẢNG TÍNH KHỐI LƯỢNG NỀN MẶT NGÕ TUYẾN 8</t>
  </si>
  <si>
    <t>∑ (vỉa hè 1 + vỉa hè 2+vỉa hè 3)</t>
  </si>
  <si>
    <t>- Diện tích nền hè đầm nèn lại:</t>
  </si>
  <si>
    <t>- Diện tích đắp CPĐD loại 2 đầm chặt dày 15cm nền vỉa hè:</t>
  </si>
  <si>
    <t>- Diện tích lớp nilon chống mất nước xm:</t>
  </si>
  <si>
    <t>- Diện tích lớp bê tông mác 250 đá 1x2 dày 10cm:</t>
  </si>
  <si>
    <t>Theo bảng tính (Tuyến 1)</t>
  </si>
  <si>
    <t>Kết cấu vỉa hè KC3</t>
  </si>
  <si>
    <t>Diện tích mặt đường bê tông nhựa (đã trừ đan rãnh, hố ga... chiếm chỗ):</t>
  </si>
  <si>
    <t>Diện tích mặt đường bê tông xi măng (đã trừ hố ga chiếm chỗ):</t>
  </si>
  <si>
    <t>Kết cấu KC1</t>
  </si>
  <si>
    <t>Kết cấu KC1 (không trừ đan rãnh chiếm chỗ)</t>
  </si>
  <si>
    <t>- Khối lượng đào nền mặt ngõ đất CII(tuyến 2…8):</t>
  </si>
  <si>
    <t>Theo bảng tính (∑ (Tuyến 1+tuyến 2+…+tuyến 8)</t>
  </si>
  <si>
    <t>∑ (Tuyến 1+tuyến 2+…+tuyến 8+các mở rộng)</t>
  </si>
  <si>
    <t>- Diện tích lớp bê tông mác 250 đá 1x2 dày 15cm:</t>
  </si>
  <si>
    <t>xoa mặt bằng máy, cắt khe co</t>
  </si>
  <si>
    <t>- Diện tích lớp CPĐD loại 2 đầm chặt dày 10cm:</t>
  </si>
  <si>
    <t>- Khe co:</t>
  </si>
  <si>
    <t>+ Khối lượng kết cấu nền ngõ KC2:</t>
  </si>
  <si>
    <t>L tuyến/5* B TB tuyến</t>
  </si>
  <si>
    <t>(chiều dài L=9,0m)</t>
  </si>
  <si>
    <t>Xây mới ga loại 2 (hố ga thu, thăm thoát nước-cống D300):</t>
  </si>
  <si>
    <t>- Khối lượng đắp nền mặt ngõ cát đen đầm chặt K95:</t>
  </si>
  <si>
    <t>- Đắp đất núi đầm chặt k95 hố móng ga (dày 30cm):</t>
  </si>
  <si>
    <t>(2.8*2.8-1.34*1.34)*0.2</t>
  </si>
  <si>
    <t>(2.7*2.7-1.34*1.34)*0.3</t>
  </si>
  <si>
    <t>(2.55*2.55-1.34*1.34)*1.22</t>
  </si>
  <si>
    <t>(2.5*2.5-1.24*1.24)*1.3</t>
  </si>
  <si>
    <t>Xây mới ga loại 3 (hố ga thu nước):</t>
  </si>
  <si>
    <t>0.51 m3/ga</t>
  </si>
  <si>
    <t>0.69m3/ga</t>
  </si>
  <si>
    <t>3.42m3/ga</t>
  </si>
  <si>
    <t>Xây mới ga loại 4 (hố ga thu nước):</t>
  </si>
  <si>
    <t>(1.36*1.16-0.72*0.52)*0.28</t>
  </si>
  <si>
    <t>(1.51*1.31-0.72*0.52)*0.3</t>
  </si>
  <si>
    <t>- Đất núi đầm chặt k=0.95 dày 30cm:</t>
  </si>
  <si>
    <t>2,24m2/m</t>
  </si>
  <si>
    <t>0,56m2/m</t>
  </si>
  <si>
    <t>0,75m2/m</t>
  </si>
  <si>
    <t>- Ống cống BTCT D300 (đã trừ giao ga):</t>
  </si>
  <si>
    <t>1,09m2/m</t>
  </si>
  <si>
    <t>0,86m2/m</t>
  </si>
  <si>
    <t>Bể cáp ngầm</t>
  </si>
  <si>
    <t>- Cải tạo bể cáp điện ngầm:</t>
  </si>
  <si>
    <t>Dài: 720m; Rộng: 15m</t>
  </si>
  <si>
    <t>61 mặt cắt ngang</t>
  </si>
  <si>
    <t>- Lớp bê tông xi măng nền đường dày 10cm:</t>
  </si>
  <si>
    <t>- Lớp bê tông xi măng nền vỉa hè dày 7cm:</t>
  </si>
  <si>
    <t>BẢNG TỔNG HỢP KHỐI LƯỢNG CÁC CÔNG TÁC CHÍNH
Công trình: Duy tu, sửa chữa ngõ 384 Lạch Tray, phường Đằng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</si>
</sst>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</numFmts>
  <fonts count="23" x14ac:knownFonts="1">
    <font>
      <sz val="11"/>
      <color theme="1"/>
      <name val="Calibri"/>
      <family val="2"/>
      <charset val="163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3"/>
      <name val="Calibri Light"/>
      <family val="1"/>
      <scheme val="major"/>
    </font>
    <font>
      <sz val="13"/>
      <name val="Calibri"/>
      <family val="2"/>
      <charset val="163"/>
      <scheme val="minor"/>
    </font>
    <font>
      <sz val="13"/>
      <name val="Calibri Light"/>
      <family val="1"/>
      <scheme val="major"/>
    </font>
    <font>
      <sz val="13"/>
      <name val="Calibri"/>
      <family val="2"/>
      <scheme val="minor"/>
    </font>
    <font>
      <i/>
      <sz val="13"/>
      <name val="Calibri Light"/>
      <family val="1"/>
      <scheme val="major"/>
    </font>
    <font>
      <i/>
      <sz val="13"/>
      <name val="Calibri"/>
      <family val="2"/>
      <scheme val="minor"/>
    </font>
    <font>
      <sz val="13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sz val="13"/>
      <name val="Calibri Light"/>
      <family val="1"/>
      <charset val="163"/>
      <scheme val="major"/>
    </font>
    <font>
      <b/>
      <sz val="14"/>
      <name val="Arial"/>
      <family val="2"/>
    </font>
    <font>
      <b/>
      <sz val="12"/>
      <name val=".Vn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.VnTime"/>
      <family val="2"/>
    </font>
    <font>
      <b/>
      <sz val="12"/>
      <name val=".VnTime"/>
      <family val="2"/>
    </font>
    <font>
      <b/>
      <i/>
      <sz val="13"/>
      <name val="Times New Roman"/>
      <family val="1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89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2" xfId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right" vertical="center"/>
    </xf>
    <xf numFmtId="0" fontId="4" fillId="0" borderId="2" xfId="0" quotePrefix="1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right" vertical="center"/>
    </xf>
    <xf numFmtId="0" fontId="2" fillId="0" borderId="3" xfId="0" quotePrefix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right" vertical="center"/>
    </xf>
    <xf numFmtId="49" fontId="3" fillId="0" borderId="2" xfId="0" quotePrefix="1" applyNumberFormat="1" applyFont="1" applyFill="1" applyBorder="1" applyAlignment="1">
      <alignment vertical="center" wrapText="1"/>
    </xf>
    <xf numFmtId="49" fontId="2" fillId="0" borderId="3" xfId="0" quotePrefix="1" applyNumberFormat="1" applyFont="1" applyFill="1" applyBorder="1" applyAlignment="1">
      <alignment vertical="center" wrapText="1"/>
    </xf>
    <xf numFmtId="49" fontId="2" fillId="0" borderId="2" xfId="0" quotePrefix="1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5" xfId="0" quotePrefix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2" fontId="18" fillId="4" borderId="3" xfId="0" applyNumberFormat="1" applyFont="1" applyFill="1" applyBorder="1" applyAlignment="1">
      <alignment horizontal="center" vertical="center"/>
    </xf>
    <xf numFmtId="49" fontId="21" fillId="0" borderId="2" xfId="0" quotePrefix="1" applyNumberFormat="1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vertical="center" wrapText="1"/>
    </xf>
    <xf numFmtId="164" fontId="2" fillId="0" borderId="3" xfId="1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vertical="center" wrapText="1"/>
    </xf>
    <xf numFmtId="164" fontId="21" fillId="0" borderId="1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164" fontId="3" fillId="0" borderId="2" xfId="1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center" wrapText="1"/>
    </xf>
    <xf numFmtId="1" fontId="0" fillId="0" borderId="0" xfId="0" applyNumberFormat="1"/>
    <xf numFmtId="166" fontId="4" fillId="0" borderId="2" xfId="1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right" vertical="center"/>
    </xf>
    <xf numFmtId="49" fontId="2" fillId="0" borderId="5" xfId="0" quotePrefix="1" applyNumberFormat="1" applyFont="1" applyFill="1" applyBorder="1" applyAlignment="1">
      <alignment vertical="center" wrapText="1"/>
    </xf>
    <xf numFmtId="2" fontId="0" fillId="0" borderId="0" xfId="0" applyNumberFormat="1"/>
    <xf numFmtId="49" fontId="2" fillId="3" borderId="2" xfId="0" quotePrefix="1" applyNumberFormat="1" applyFont="1" applyFill="1" applyBorder="1" applyAlignment="1">
      <alignment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 x14ac:dyDescent="0.25"/>
  <sheetData/>
  <pageMargins left="0.7" right="0.7" top="0.75" bottom="0.75" header="0.3" footer="0.3"/>
  <pageSetup paperSize="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3" topLeftCell="A4" activePane="bottomLeft" state="frozen"/>
      <selection pane="bottomLeft" activeCell="M9" sqref="M9"/>
    </sheetView>
  </sheetViews>
  <sheetFormatPr defaultRowHeight="15" x14ac:dyDescent="0.25"/>
  <cols>
    <col min="2" max="2" width="12.85546875" customWidth="1"/>
    <col min="3" max="3" width="13.42578125" customWidth="1"/>
    <col min="4" max="7" width="15.7109375" customWidth="1"/>
  </cols>
  <sheetData>
    <row r="1" spans="1:7" ht="18" customHeight="1" x14ac:dyDescent="0.25">
      <c r="A1" s="85" t="s">
        <v>153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34</v>
      </c>
      <c r="F3" s="66" t="s">
        <v>35</v>
      </c>
      <c r="G3" s="66" t="s">
        <v>35</v>
      </c>
    </row>
    <row r="4" spans="1:7" ht="15.75" x14ac:dyDescent="0.25">
      <c r="A4" s="50">
        <v>1</v>
      </c>
      <c r="B4" s="57"/>
      <c r="C4" s="57">
        <v>2</v>
      </c>
      <c r="D4" s="57">
        <v>0.1</v>
      </c>
      <c r="E4" s="57">
        <v>0.03</v>
      </c>
      <c r="F4" s="57"/>
      <c r="G4" s="57"/>
    </row>
    <row r="5" spans="1:7" ht="15.75" x14ac:dyDescent="0.25">
      <c r="A5" s="51"/>
      <c r="B5" s="52">
        <v>16.850000000000001</v>
      </c>
      <c r="C5" s="52"/>
      <c r="D5" s="52"/>
      <c r="E5" s="52"/>
      <c r="F5" s="58">
        <f>(D4+D6)*$B5/2</f>
        <v>1.7692500000000002</v>
      </c>
      <c r="G5" s="58">
        <f>(E4+E6)*$B5/2</f>
        <v>1.3480000000000001</v>
      </c>
    </row>
    <row r="6" spans="1:7" ht="15.75" x14ac:dyDescent="0.25">
      <c r="A6" s="51" t="s">
        <v>91</v>
      </c>
      <c r="B6" s="52"/>
      <c r="C6" s="52">
        <v>2.2000000000000002</v>
      </c>
      <c r="D6" s="52">
        <v>0.11000000000000001</v>
      </c>
      <c r="E6" s="52">
        <v>0.13</v>
      </c>
      <c r="F6" s="52"/>
      <c r="G6" s="52"/>
    </row>
    <row r="7" spans="1:7" ht="15.75" x14ac:dyDescent="0.25">
      <c r="A7" s="51"/>
      <c r="B7" s="52">
        <v>5.67</v>
      </c>
      <c r="C7" s="52"/>
      <c r="D7" s="52"/>
      <c r="E7" s="52"/>
      <c r="F7" s="58">
        <f t="shared" ref="F7:G7" si="0">(D6+D8)*$B7/2</f>
        <v>0.581175</v>
      </c>
      <c r="G7" s="58">
        <f t="shared" si="0"/>
        <v>0.56700000000000006</v>
      </c>
    </row>
    <row r="8" spans="1:7" ht="15.75" x14ac:dyDescent="0.25">
      <c r="A8" s="51" t="s">
        <v>92</v>
      </c>
      <c r="B8" s="52"/>
      <c r="C8" s="52">
        <v>1.9</v>
      </c>
      <c r="D8" s="52">
        <v>9.5000000000000001E-2</v>
      </c>
      <c r="E8" s="52">
        <v>7.0000000000000007E-2</v>
      </c>
      <c r="F8" s="52"/>
      <c r="G8" s="52"/>
    </row>
    <row r="9" spans="1:7" ht="15.75" x14ac:dyDescent="0.25">
      <c r="A9" s="51"/>
      <c r="B9" s="52">
        <v>5.0599999999999996</v>
      </c>
      <c r="C9" s="52"/>
      <c r="D9" s="52"/>
      <c r="E9" s="52"/>
      <c r="F9" s="58">
        <f t="shared" ref="F9:G9" si="1">(D8+D10)*$B9/2</f>
        <v>0.63249999999999995</v>
      </c>
      <c r="G9" s="58">
        <f t="shared" si="1"/>
        <v>0.78429999999999989</v>
      </c>
    </row>
    <row r="10" spans="1:7" ht="15.75" x14ac:dyDescent="0.25">
      <c r="A10" s="51" t="s">
        <v>93</v>
      </c>
      <c r="B10" s="52"/>
      <c r="C10" s="52">
        <v>3.1</v>
      </c>
      <c r="D10" s="52">
        <v>0.15500000000000003</v>
      </c>
      <c r="E10" s="52">
        <v>0.24</v>
      </c>
      <c r="F10" s="52"/>
      <c r="G10" s="52"/>
    </row>
    <row r="11" spans="1:7" ht="15.75" x14ac:dyDescent="0.25">
      <c r="A11" s="51"/>
      <c r="B11" s="52">
        <v>13.28</v>
      </c>
      <c r="C11" s="52"/>
      <c r="D11" s="52"/>
      <c r="E11" s="52"/>
      <c r="F11" s="58">
        <f t="shared" ref="F11:G11" si="2">(D10+D12)*$B11/2</f>
        <v>1.7263999999999999</v>
      </c>
      <c r="G11" s="58">
        <f t="shared" si="2"/>
        <v>1.8591999999999997</v>
      </c>
    </row>
    <row r="12" spans="1:7" ht="15.75" x14ac:dyDescent="0.25">
      <c r="A12" s="51">
        <v>2</v>
      </c>
      <c r="B12" s="52"/>
      <c r="C12" s="52">
        <v>2.1</v>
      </c>
      <c r="D12" s="52">
        <v>0.10500000000000001</v>
      </c>
      <c r="E12" s="52">
        <v>0.04</v>
      </c>
      <c r="F12" s="52"/>
      <c r="G12" s="52"/>
    </row>
    <row r="13" spans="1:7" ht="15.75" x14ac:dyDescent="0.25">
      <c r="A13" s="51"/>
      <c r="B13" s="52">
        <v>13.29</v>
      </c>
      <c r="C13" s="52"/>
      <c r="D13" s="52"/>
      <c r="E13" s="52"/>
      <c r="F13" s="58">
        <f t="shared" ref="F13:G13" si="3">(D12+D14)*$B13/2</f>
        <v>1.362225</v>
      </c>
      <c r="G13" s="58">
        <f t="shared" si="3"/>
        <v>0.46515000000000001</v>
      </c>
    </row>
    <row r="14" spans="1:7" ht="15.75" x14ac:dyDescent="0.25">
      <c r="A14" s="51">
        <v>3</v>
      </c>
      <c r="B14" s="52"/>
      <c r="C14" s="52">
        <v>2</v>
      </c>
      <c r="D14" s="52">
        <v>0.1</v>
      </c>
      <c r="E14" s="52">
        <v>0.03</v>
      </c>
      <c r="F14" s="52"/>
      <c r="G14" s="52"/>
    </row>
    <row r="15" spans="1:7" ht="18.75" x14ac:dyDescent="0.25">
      <c r="A15" s="55" t="s">
        <v>39</v>
      </c>
      <c r="B15" s="56">
        <f>SUM(B5:B13)</f>
        <v>54.15</v>
      </c>
      <c r="C15" s="56">
        <f>AVERAGE(C4:C14)</f>
        <v>2.2166666666666663</v>
      </c>
      <c r="D15" s="56"/>
      <c r="E15" s="56"/>
      <c r="F15" s="56">
        <f>SUM(F5:F14)</f>
        <v>6.0715500000000002</v>
      </c>
      <c r="G15" s="56">
        <f>SUM(G5:G14)</f>
        <v>5.0236499999999999</v>
      </c>
    </row>
    <row r="17" spans="3:3" x14ac:dyDescent="0.25">
      <c r="C17" s="73">
        <f>B15/5*C15</f>
        <v>24.006499999999996</v>
      </c>
    </row>
  </sheetData>
  <mergeCells count="2">
    <mergeCell ref="A1:G1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7"/>
  <sheetViews>
    <sheetView tabSelected="1" zoomScaleNormal="100" workbookViewId="0">
      <pane ySplit="2" topLeftCell="A57" activePane="bottomLeft" state="frozen"/>
      <selection pane="bottomLeft" activeCell="B15" sqref="B15"/>
    </sheetView>
  </sheetViews>
  <sheetFormatPr defaultColWidth="0" defaultRowHeight="17.25" x14ac:dyDescent="0.25"/>
  <cols>
    <col min="1" max="1" width="7" style="32" customWidth="1"/>
    <col min="2" max="2" width="77.42578125" style="33" customWidth="1"/>
    <col min="3" max="3" width="13.42578125" style="22" customWidth="1"/>
    <col min="4" max="4" width="14.42578125" style="34" customWidth="1"/>
    <col min="5" max="5" width="50.85546875" style="35" customWidth="1"/>
    <col min="6" max="231" width="9" style="22" customWidth="1"/>
    <col min="232" max="232" width="58.85546875" style="22" bestFit="1" customWidth="1"/>
    <col min="233" max="233" width="10.140625" style="22" customWidth="1"/>
    <col min="234" max="234" width="14.28515625" style="22" customWidth="1"/>
    <col min="235" max="16384" width="0" style="22" hidden="1"/>
  </cols>
  <sheetData>
    <row r="1" spans="1:5" ht="35.25" customHeight="1" x14ac:dyDescent="0.25">
      <c r="A1" s="83" t="s">
        <v>202</v>
      </c>
      <c r="B1" s="84"/>
      <c r="C1" s="84"/>
      <c r="D1" s="84"/>
      <c r="E1" s="84"/>
    </row>
    <row r="2" spans="1:5" ht="20.25" customHeight="1" x14ac:dyDescent="0.25">
      <c r="A2" s="1" t="s">
        <v>0</v>
      </c>
      <c r="B2" s="2" t="s">
        <v>1</v>
      </c>
      <c r="C2" s="1" t="s">
        <v>2</v>
      </c>
      <c r="D2" s="3" t="s">
        <v>3</v>
      </c>
      <c r="E2" s="4" t="s">
        <v>10</v>
      </c>
    </row>
    <row r="3" spans="1:5" ht="18" customHeight="1" x14ac:dyDescent="0.25">
      <c r="A3" s="5" t="s">
        <v>4</v>
      </c>
      <c r="B3" s="6" t="s">
        <v>12</v>
      </c>
      <c r="C3" s="5"/>
      <c r="D3" s="7"/>
      <c r="E3" s="23"/>
    </row>
    <row r="4" spans="1:5" s="24" customFormat="1" ht="18" customHeight="1" x14ac:dyDescent="0.25">
      <c r="A4" s="44">
        <v>1</v>
      </c>
      <c r="B4" s="45" t="s">
        <v>85</v>
      </c>
      <c r="C4" s="44" t="s">
        <v>5</v>
      </c>
      <c r="D4" s="46">
        <f>SUM(D5:D12)</f>
        <v>716.99</v>
      </c>
      <c r="E4" s="47"/>
    </row>
    <row r="5" spans="1:5" s="26" customFormat="1" ht="18" customHeight="1" x14ac:dyDescent="0.25">
      <c r="A5" s="10"/>
      <c r="B5" s="37" t="s">
        <v>103</v>
      </c>
      <c r="C5" s="8" t="s">
        <v>5</v>
      </c>
      <c r="D5" s="9">
        <f>'BANG KL TUYEN 1'!B49</f>
        <v>318.46000000000004</v>
      </c>
      <c r="E5" s="25" t="s">
        <v>40</v>
      </c>
    </row>
    <row r="6" spans="1:5" s="26" customFormat="1" ht="18" customHeight="1" x14ac:dyDescent="0.25">
      <c r="A6" s="10"/>
      <c r="B6" s="37" t="s">
        <v>104</v>
      </c>
      <c r="C6" s="8" t="s">
        <v>5</v>
      </c>
      <c r="D6" s="9">
        <f>'BANG KL TUYEN 2'!B13</f>
        <v>70.14</v>
      </c>
      <c r="E6" s="25" t="s">
        <v>40</v>
      </c>
    </row>
    <row r="7" spans="1:5" s="26" customFormat="1" ht="18" customHeight="1" x14ac:dyDescent="0.25">
      <c r="A7" s="10"/>
      <c r="B7" s="37" t="s">
        <v>105</v>
      </c>
      <c r="C7" s="8" t="s">
        <v>5</v>
      </c>
      <c r="D7" s="9">
        <f>'BANG KL TUYEN 3'!B13</f>
        <v>41.339999999999996</v>
      </c>
      <c r="E7" s="25" t="s">
        <v>40</v>
      </c>
    </row>
    <row r="8" spans="1:5" s="26" customFormat="1" ht="18" customHeight="1" x14ac:dyDescent="0.25">
      <c r="A8" s="10"/>
      <c r="B8" s="37" t="s">
        <v>106</v>
      </c>
      <c r="C8" s="8" t="s">
        <v>5</v>
      </c>
      <c r="D8" s="9">
        <f>'BANG KL TUYEN 4'!B13</f>
        <v>68.31</v>
      </c>
      <c r="E8" s="25" t="s">
        <v>40</v>
      </c>
    </row>
    <row r="9" spans="1:5" s="26" customFormat="1" ht="18" customHeight="1" x14ac:dyDescent="0.25">
      <c r="A9" s="10"/>
      <c r="B9" s="37" t="s">
        <v>107</v>
      </c>
      <c r="C9" s="8" t="s">
        <v>5</v>
      </c>
      <c r="D9" s="9">
        <f>'BANG KL TUYEN 5'!B23</f>
        <v>81.990000000000009</v>
      </c>
      <c r="E9" s="25" t="s">
        <v>40</v>
      </c>
    </row>
    <row r="10" spans="1:5" s="26" customFormat="1" ht="18" customHeight="1" x14ac:dyDescent="0.25">
      <c r="A10" s="10"/>
      <c r="B10" s="37" t="s">
        <v>108</v>
      </c>
      <c r="C10" s="8" t="s">
        <v>5</v>
      </c>
      <c r="D10" s="9">
        <f>'BANG KL TUYEN 6'!B9</f>
        <v>28.64</v>
      </c>
      <c r="E10" s="25" t="s">
        <v>40</v>
      </c>
    </row>
    <row r="11" spans="1:5" s="26" customFormat="1" ht="18" customHeight="1" x14ac:dyDescent="0.25">
      <c r="A11" s="10"/>
      <c r="B11" s="37" t="s">
        <v>109</v>
      </c>
      <c r="C11" s="8" t="s">
        <v>5</v>
      </c>
      <c r="D11" s="9">
        <f>'BANG KL TUYEN 7'!B15</f>
        <v>53.959999999999994</v>
      </c>
      <c r="E11" s="25" t="s">
        <v>40</v>
      </c>
    </row>
    <row r="12" spans="1:5" s="26" customFormat="1" ht="18" customHeight="1" x14ac:dyDescent="0.25">
      <c r="A12" s="10"/>
      <c r="B12" s="37" t="s">
        <v>110</v>
      </c>
      <c r="C12" s="8" t="s">
        <v>5</v>
      </c>
      <c r="D12" s="9">
        <f>'BANG KL TUYEN 8'!B15</f>
        <v>54.15</v>
      </c>
      <c r="E12" s="25" t="s">
        <v>40</v>
      </c>
    </row>
    <row r="13" spans="1:5" s="24" customFormat="1" x14ac:dyDescent="0.25">
      <c r="A13" s="44">
        <v>2</v>
      </c>
      <c r="B13" s="45" t="s">
        <v>86</v>
      </c>
      <c r="C13" s="44" t="s">
        <v>6</v>
      </c>
      <c r="D13" s="46">
        <f>SUM(D14:D27)</f>
        <v>2574</v>
      </c>
      <c r="E13" s="47"/>
    </row>
    <row r="14" spans="1:5" s="24" customFormat="1" ht="18" customHeight="1" x14ac:dyDescent="0.25">
      <c r="A14" s="10"/>
      <c r="B14" s="37" t="s">
        <v>103</v>
      </c>
      <c r="C14" s="8" t="s">
        <v>6</v>
      </c>
      <c r="D14" s="9">
        <v>1396</v>
      </c>
      <c r="E14" s="25" t="s">
        <v>11</v>
      </c>
    </row>
    <row r="15" spans="1:5" s="24" customFormat="1" ht="18" customHeight="1" x14ac:dyDescent="0.25">
      <c r="A15" s="10"/>
      <c r="B15" s="37" t="s">
        <v>104</v>
      </c>
      <c r="C15" s="8" t="s">
        <v>6</v>
      </c>
      <c r="D15" s="9">
        <v>235</v>
      </c>
      <c r="E15" s="25" t="s">
        <v>11</v>
      </c>
    </row>
    <row r="16" spans="1:5" s="24" customFormat="1" ht="18" customHeight="1" x14ac:dyDescent="0.25">
      <c r="A16" s="10"/>
      <c r="B16" s="37" t="s">
        <v>105</v>
      </c>
      <c r="C16" s="8" t="s">
        <v>6</v>
      </c>
      <c r="D16" s="9">
        <v>81</v>
      </c>
      <c r="E16" s="25" t="s">
        <v>11</v>
      </c>
    </row>
    <row r="17" spans="1:5" s="24" customFormat="1" ht="18" customHeight="1" x14ac:dyDescent="0.25">
      <c r="A17" s="10"/>
      <c r="B17" s="37" t="s">
        <v>106</v>
      </c>
      <c r="C17" s="8" t="s">
        <v>6</v>
      </c>
      <c r="D17" s="9">
        <v>142</v>
      </c>
      <c r="E17" s="25" t="s">
        <v>11</v>
      </c>
    </row>
    <row r="18" spans="1:5" s="24" customFormat="1" ht="18" customHeight="1" x14ac:dyDescent="0.25">
      <c r="A18" s="10"/>
      <c r="B18" s="37" t="s">
        <v>107</v>
      </c>
      <c r="C18" s="8" t="s">
        <v>6</v>
      </c>
      <c r="D18" s="9">
        <v>179</v>
      </c>
      <c r="E18" s="25" t="s">
        <v>11</v>
      </c>
    </row>
    <row r="19" spans="1:5" s="24" customFormat="1" ht="18" customHeight="1" x14ac:dyDescent="0.25">
      <c r="A19" s="10"/>
      <c r="B19" s="37" t="s">
        <v>108</v>
      </c>
      <c r="C19" s="8" t="s">
        <v>6</v>
      </c>
      <c r="D19" s="9">
        <v>61</v>
      </c>
      <c r="E19" s="25" t="s">
        <v>11</v>
      </c>
    </row>
    <row r="20" spans="1:5" s="24" customFormat="1" ht="18" customHeight="1" x14ac:dyDescent="0.25">
      <c r="A20" s="10"/>
      <c r="B20" s="37" t="s">
        <v>109</v>
      </c>
      <c r="C20" s="8" t="s">
        <v>6</v>
      </c>
      <c r="D20" s="9">
        <v>94</v>
      </c>
      <c r="E20" s="25" t="s">
        <v>11</v>
      </c>
    </row>
    <row r="21" spans="1:5" s="24" customFormat="1" ht="18" customHeight="1" x14ac:dyDescent="0.25">
      <c r="A21" s="10"/>
      <c r="B21" s="37" t="s">
        <v>110</v>
      </c>
      <c r="C21" s="8" t="s">
        <v>6</v>
      </c>
      <c r="D21" s="9">
        <v>106</v>
      </c>
      <c r="E21" s="25" t="s">
        <v>11</v>
      </c>
    </row>
    <row r="22" spans="1:5" s="24" customFormat="1" ht="18" customHeight="1" x14ac:dyDescent="0.25">
      <c r="A22" s="10"/>
      <c r="B22" s="37" t="s">
        <v>124</v>
      </c>
      <c r="C22" s="8" t="s">
        <v>6</v>
      </c>
      <c r="D22" s="9">
        <v>81</v>
      </c>
      <c r="E22" s="25" t="s">
        <v>11</v>
      </c>
    </row>
    <row r="23" spans="1:5" s="24" customFormat="1" ht="18" customHeight="1" x14ac:dyDescent="0.25">
      <c r="A23" s="10"/>
      <c r="B23" s="37" t="s">
        <v>125</v>
      </c>
      <c r="C23" s="8" t="s">
        <v>6</v>
      </c>
      <c r="D23" s="9">
        <v>27</v>
      </c>
      <c r="E23" s="25" t="s">
        <v>11</v>
      </c>
    </row>
    <row r="24" spans="1:5" s="24" customFormat="1" ht="18" customHeight="1" x14ac:dyDescent="0.25">
      <c r="A24" s="10"/>
      <c r="B24" s="37" t="s">
        <v>126</v>
      </c>
      <c r="C24" s="8" t="s">
        <v>6</v>
      </c>
      <c r="D24" s="9">
        <v>36</v>
      </c>
      <c r="E24" s="25" t="s">
        <v>11</v>
      </c>
    </row>
    <row r="25" spans="1:5" s="24" customFormat="1" ht="18" customHeight="1" x14ac:dyDescent="0.25">
      <c r="A25" s="10"/>
      <c r="B25" s="37" t="s">
        <v>127</v>
      </c>
      <c r="C25" s="8" t="s">
        <v>6</v>
      </c>
      <c r="D25" s="9">
        <v>47</v>
      </c>
      <c r="E25" s="25"/>
    </row>
    <row r="26" spans="1:5" s="24" customFormat="1" ht="18" customHeight="1" x14ac:dyDescent="0.25">
      <c r="A26" s="10"/>
      <c r="B26" s="37" t="s">
        <v>128</v>
      </c>
      <c r="C26" s="8" t="s">
        <v>6</v>
      </c>
      <c r="D26" s="9">
        <v>49</v>
      </c>
      <c r="E26" s="25"/>
    </row>
    <row r="27" spans="1:5" s="24" customFormat="1" ht="18" customHeight="1" x14ac:dyDescent="0.25">
      <c r="A27" s="10"/>
      <c r="B27" s="37" t="s">
        <v>129</v>
      </c>
      <c r="C27" s="8" t="s">
        <v>6</v>
      </c>
      <c r="D27" s="9">
        <v>40</v>
      </c>
      <c r="E27" s="25" t="s">
        <v>11</v>
      </c>
    </row>
    <row r="28" spans="1:5" s="24" customFormat="1" x14ac:dyDescent="0.25">
      <c r="A28" s="44">
        <v>3</v>
      </c>
      <c r="B28" s="45" t="s">
        <v>88</v>
      </c>
      <c r="C28" s="44" t="s">
        <v>6</v>
      </c>
      <c r="D28" s="46">
        <f>D29+D30</f>
        <v>2422.3060999999998</v>
      </c>
      <c r="E28" s="47"/>
    </row>
    <row r="29" spans="1:5" s="24" customFormat="1" x14ac:dyDescent="0.25">
      <c r="A29" s="67" t="s">
        <v>99</v>
      </c>
      <c r="B29" s="68" t="s">
        <v>161</v>
      </c>
      <c r="C29" s="67" t="s">
        <v>6</v>
      </c>
      <c r="D29" s="69">
        <f>D14-D84*0.85*0.85-D80*0.25</f>
        <v>1304.2725</v>
      </c>
      <c r="E29" s="70" t="s">
        <v>101</v>
      </c>
    </row>
    <row r="30" spans="1:5" s="24" customFormat="1" x14ac:dyDescent="0.25">
      <c r="A30" s="67" t="s">
        <v>100</v>
      </c>
      <c r="B30" s="68" t="s">
        <v>162</v>
      </c>
      <c r="C30" s="67" t="s">
        <v>6</v>
      </c>
      <c r="D30" s="69">
        <f>SUM(D15:D27)-D88*1.24*1.24</f>
        <v>1118.0336</v>
      </c>
      <c r="E30" s="70" t="s">
        <v>102</v>
      </c>
    </row>
    <row r="31" spans="1:5" s="24" customFormat="1" ht="18" customHeight="1" x14ac:dyDescent="0.25">
      <c r="A31" s="44">
        <v>4</v>
      </c>
      <c r="B31" s="45" t="s">
        <v>87</v>
      </c>
      <c r="C31" s="44"/>
      <c r="D31" s="46"/>
      <c r="E31" s="47"/>
    </row>
    <row r="32" spans="1:5" s="24" customFormat="1" ht="18" customHeight="1" x14ac:dyDescent="0.25">
      <c r="A32" s="67" t="s">
        <v>111</v>
      </c>
      <c r="B32" s="68" t="s">
        <v>117</v>
      </c>
      <c r="C32" s="67"/>
      <c r="D32" s="69"/>
      <c r="E32" s="70"/>
    </row>
    <row r="33" spans="1:5" s="24" customFormat="1" ht="20.25" customHeight="1" x14ac:dyDescent="0.25">
      <c r="A33" s="11"/>
      <c r="B33" s="79" t="s">
        <v>200</v>
      </c>
      <c r="C33" s="40" t="s">
        <v>6</v>
      </c>
      <c r="D33" s="13">
        <f>SUM(D34:D45)</f>
        <v>943</v>
      </c>
      <c r="E33" s="72" t="s">
        <v>131</v>
      </c>
    </row>
    <row r="34" spans="1:5" s="24" customFormat="1" ht="18" customHeight="1" x14ac:dyDescent="0.25">
      <c r="A34" s="11"/>
      <c r="B34" s="37" t="s">
        <v>118</v>
      </c>
      <c r="C34" s="8" t="s">
        <v>6</v>
      </c>
      <c r="D34" s="71">
        <v>81</v>
      </c>
      <c r="E34" s="25" t="s">
        <v>11</v>
      </c>
    </row>
    <row r="35" spans="1:5" s="24" customFormat="1" ht="18" customHeight="1" x14ac:dyDescent="0.25">
      <c r="A35" s="11"/>
      <c r="B35" s="37" t="s">
        <v>119</v>
      </c>
      <c r="C35" s="8" t="s">
        <v>6</v>
      </c>
      <c r="D35" s="71">
        <v>142</v>
      </c>
      <c r="E35" s="25" t="s">
        <v>11</v>
      </c>
    </row>
    <row r="36" spans="1:5" s="24" customFormat="1" ht="18" customHeight="1" x14ac:dyDescent="0.25">
      <c r="A36" s="11"/>
      <c r="B36" s="37" t="s">
        <v>120</v>
      </c>
      <c r="C36" s="8" t="s">
        <v>6</v>
      </c>
      <c r="D36" s="71">
        <v>179</v>
      </c>
      <c r="E36" s="25" t="s">
        <v>11</v>
      </c>
    </row>
    <row r="37" spans="1:5" s="24" customFormat="1" ht="18" customHeight="1" x14ac:dyDescent="0.25">
      <c r="A37" s="11"/>
      <c r="B37" s="37" t="s">
        <v>121</v>
      </c>
      <c r="C37" s="8" t="s">
        <v>6</v>
      </c>
      <c r="D37" s="71">
        <v>61</v>
      </c>
      <c r="E37" s="25" t="s">
        <v>11</v>
      </c>
    </row>
    <row r="38" spans="1:5" s="24" customFormat="1" ht="18" customHeight="1" x14ac:dyDescent="0.25">
      <c r="A38" s="11"/>
      <c r="B38" s="37" t="s">
        <v>122</v>
      </c>
      <c r="C38" s="8" t="s">
        <v>6</v>
      </c>
      <c r="D38" s="71">
        <v>94</v>
      </c>
      <c r="E38" s="25" t="s">
        <v>11</v>
      </c>
    </row>
    <row r="39" spans="1:5" s="24" customFormat="1" ht="18" customHeight="1" x14ac:dyDescent="0.25">
      <c r="A39" s="11"/>
      <c r="B39" s="37" t="s">
        <v>123</v>
      </c>
      <c r="C39" s="8" t="s">
        <v>6</v>
      </c>
      <c r="D39" s="71">
        <v>106</v>
      </c>
      <c r="E39" s="25" t="s">
        <v>11</v>
      </c>
    </row>
    <row r="40" spans="1:5" s="24" customFormat="1" ht="18" customHeight="1" x14ac:dyDescent="0.25">
      <c r="A40" s="11"/>
      <c r="B40" s="37" t="s">
        <v>124</v>
      </c>
      <c r="C40" s="8" t="s">
        <v>6</v>
      </c>
      <c r="D40" s="71">
        <v>81</v>
      </c>
      <c r="E40" s="25" t="s">
        <v>11</v>
      </c>
    </row>
    <row r="41" spans="1:5" s="24" customFormat="1" ht="18" customHeight="1" x14ac:dyDescent="0.25">
      <c r="A41" s="11"/>
      <c r="B41" s="37" t="s">
        <v>125</v>
      </c>
      <c r="C41" s="8" t="s">
        <v>6</v>
      </c>
      <c r="D41" s="71">
        <v>27</v>
      </c>
      <c r="E41" s="25" t="s">
        <v>11</v>
      </c>
    </row>
    <row r="42" spans="1:5" s="24" customFormat="1" ht="18" customHeight="1" x14ac:dyDescent="0.25">
      <c r="A42" s="11"/>
      <c r="B42" s="37" t="s">
        <v>126</v>
      </c>
      <c r="C42" s="8" t="s">
        <v>6</v>
      </c>
      <c r="D42" s="71">
        <v>36</v>
      </c>
      <c r="E42" s="25" t="s">
        <v>11</v>
      </c>
    </row>
    <row r="43" spans="1:5" s="24" customFormat="1" ht="18" customHeight="1" x14ac:dyDescent="0.25">
      <c r="A43" s="11"/>
      <c r="B43" s="37" t="s">
        <v>127</v>
      </c>
      <c r="C43" s="8" t="s">
        <v>6</v>
      </c>
      <c r="D43" s="71">
        <v>47</v>
      </c>
      <c r="E43" s="25" t="s">
        <v>11</v>
      </c>
    </row>
    <row r="44" spans="1:5" s="24" customFormat="1" ht="18" customHeight="1" x14ac:dyDescent="0.25">
      <c r="A44" s="11"/>
      <c r="B44" s="37" t="s">
        <v>128</v>
      </c>
      <c r="C44" s="8" t="s">
        <v>6</v>
      </c>
      <c r="D44" s="71">
        <v>49</v>
      </c>
      <c r="E44" s="25" t="s">
        <v>11</v>
      </c>
    </row>
    <row r="45" spans="1:5" s="24" customFormat="1" ht="18" customHeight="1" x14ac:dyDescent="0.25">
      <c r="A45" s="11"/>
      <c r="B45" s="37" t="s">
        <v>129</v>
      </c>
      <c r="C45" s="8" t="s">
        <v>6</v>
      </c>
      <c r="D45" s="71">
        <v>40</v>
      </c>
      <c r="E45" s="25" t="s">
        <v>11</v>
      </c>
    </row>
    <row r="46" spans="1:5" s="24" customFormat="1" ht="18" customHeight="1" x14ac:dyDescent="0.25">
      <c r="A46" s="11"/>
      <c r="B46" s="39" t="s">
        <v>201</v>
      </c>
      <c r="C46" s="40" t="s">
        <v>6</v>
      </c>
      <c r="D46" s="13">
        <f>SUM(D47:D49)</f>
        <v>383</v>
      </c>
      <c r="E46" s="72" t="s">
        <v>135</v>
      </c>
    </row>
    <row r="47" spans="1:5" s="24" customFormat="1" ht="18" customHeight="1" x14ac:dyDescent="0.25">
      <c r="A47" s="11"/>
      <c r="B47" s="37" t="s">
        <v>130</v>
      </c>
      <c r="C47" s="8" t="s">
        <v>6</v>
      </c>
      <c r="D47" s="71">
        <v>317</v>
      </c>
      <c r="E47" s="25" t="s">
        <v>11</v>
      </c>
    </row>
    <row r="48" spans="1:5" s="24" customFormat="1" ht="18" customHeight="1" x14ac:dyDescent="0.25">
      <c r="A48" s="11"/>
      <c r="B48" s="37" t="s">
        <v>132</v>
      </c>
      <c r="C48" s="8" t="s">
        <v>6</v>
      </c>
      <c r="D48" s="71">
        <v>17</v>
      </c>
      <c r="E48" s="25" t="s">
        <v>11</v>
      </c>
    </row>
    <row r="49" spans="1:5" s="24" customFormat="1" ht="18" customHeight="1" x14ac:dyDescent="0.25">
      <c r="A49" s="11"/>
      <c r="B49" s="37" t="s">
        <v>133</v>
      </c>
      <c r="C49" s="8" t="s">
        <v>6</v>
      </c>
      <c r="D49" s="71">
        <v>49</v>
      </c>
      <c r="E49" s="25" t="s">
        <v>11</v>
      </c>
    </row>
    <row r="50" spans="1:5" s="24" customFormat="1" ht="18" customHeight="1" x14ac:dyDescent="0.25">
      <c r="A50" s="11"/>
      <c r="B50" s="39" t="s">
        <v>134</v>
      </c>
      <c r="C50" s="40" t="s">
        <v>5</v>
      </c>
      <c r="D50" s="13">
        <f>SUM(D51:D54)</f>
        <v>304</v>
      </c>
      <c r="E50" s="72" t="s">
        <v>140</v>
      </c>
    </row>
    <row r="51" spans="1:5" s="24" customFormat="1" ht="18" customHeight="1" x14ac:dyDescent="0.25">
      <c r="A51" s="11"/>
      <c r="B51" s="39" t="s">
        <v>136</v>
      </c>
      <c r="C51" s="40" t="s">
        <v>5</v>
      </c>
      <c r="D51" s="13">
        <v>153</v>
      </c>
      <c r="E51" s="25" t="s">
        <v>11</v>
      </c>
    </row>
    <row r="52" spans="1:5" s="24" customFormat="1" ht="18" customHeight="1" x14ac:dyDescent="0.25">
      <c r="A52" s="11"/>
      <c r="B52" s="39" t="s">
        <v>137</v>
      </c>
      <c r="C52" s="40" t="s">
        <v>5</v>
      </c>
      <c r="D52" s="13">
        <v>38</v>
      </c>
      <c r="E52" s="25" t="s">
        <v>11</v>
      </c>
    </row>
    <row r="53" spans="1:5" s="24" customFormat="1" ht="18" customHeight="1" x14ac:dyDescent="0.25">
      <c r="A53" s="11"/>
      <c r="B53" s="39" t="s">
        <v>138</v>
      </c>
      <c r="C53" s="40" t="s">
        <v>5</v>
      </c>
      <c r="D53" s="13">
        <v>44</v>
      </c>
      <c r="E53" s="25" t="s">
        <v>11</v>
      </c>
    </row>
    <row r="54" spans="1:5" s="24" customFormat="1" ht="18" customHeight="1" x14ac:dyDescent="0.25">
      <c r="A54" s="11"/>
      <c r="B54" s="39" t="s">
        <v>139</v>
      </c>
      <c r="C54" s="40" t="s">
        <v>5</v>
      </c>
      <c r="D54" s="13">
        <v>69</v>
      </c>
      <c r="E54" s="25" t="s">
        <v>11</v>
      </c>
    </row>
    <row r="55" spans="1:5" s="24" customFormat="1" ht="18" customHeight="1" x14ac:dyDescent="0.25">
      <c r="A55" s="67" t="s">
        <v>112</v>
      </c>
      <c r="B55" s="68" t="s">
        <v>141</v>
      </c>
      <c r="C55" s="67"/>
      <c r="D55" s="69"/>
      <c r="E55" s="70"/>
    </row>
    <row r="56" spans="1:5" s="24" customFormat="1" ht="18" customHeight="1" x14ac:dyDescent="0.25">
      <c r="A56" s="11"/>
      <c r="B56" s="79" t="s">
        <v>115</v>
      </c>
      <c r="C56" s="40" t="s">
        <v>7</v>
      </c>
      <c r="D56" s="13">
        <f>'BANG KL TUYEN 1'!E49</f>
        <v>367.21087999999997</v>
      </c>
      <c r="E56" s="28" t="s">
        <v>159</v>
      </c>
    </row>
    <row r="57" spans="1:5" s="24" customFormat="1" x14ac:dyDescent="0.25">
      <c r="A57" s="11"/>
      <c r="B57" s="39" t="s">
        <v>21</v>
      </c>
      <c r="C57" s="40" t="s">
        <v>6</v>
      </c>
      <c r="D57" s="13">
        <f>D29</f>
        <v>1304.2725</v>
      </c>
      <c r="E57" s="28" t="s">
        <v>163</v>
      </c>
    </row>
    <row r="58" spans="1:5" s="24" customFormat="1" ht="18" customHeight="1" x14ac:dyDescent="0.25">
      <c r="A58" s="11"/>
      <c r="B58" s="39" t="s">
        <v>22</v>
      </c>
      <c r="C58" s="10" t="s">
        <v>6</v>
      </c>
      <c r="D58" s="13">
        <f>D57</f>
        <v>1304.2725</v>
      </c>
      <c r="E58" s="28" t="s">
        <v>163</v>
      </c>
    </row>
    <row r="59" spans="1:5" s="24" customFormat="1" ht="18" customHeight="1" x14ac:dyDescent="0.25">
      <c r="A59" s="11"/>
      <c r="B59" s="39" t="s">
        <v>83</v>
      </c>
      <c r="C59" s="40" t="s">
        <v>6</v>
      </c>
      <c r="D59" s="13">
        <f>D58</f>
        <v>1304.2725</v>
      </c>
      <c r="E59" s="28" t="s">
        <v>163</v>
      </c>
    </row>
    <row r="60" spans="1:5" s="24" customFormat="1" ht="18" customHeight="1" x14ac:dyDescent="0.25">
      <c r="A60" s="11"/>
      <c r="B60" s="39" t="s">
        <v>23</v>
      </c>
      <c r="C60" s="10" t="s">
        <v>6</v>
      </c>
      <c r="D60" s="13">
        <f>D59</f>
        <v>1304.2725</v>
      </c>
      <c r="E60" s="28" t="s">
        <v>163</v>
      </c>
    </row>
    <row r="61" spans="1:5" s="24" customFormat="1" ht="18" customHeight="1" x14ac:dyDescent="0.25">
      <c r="A61" s="11"/>
      <c r="B61" s="39" t="s">
        <v>41</v>
      </c>
      <c r="C61" s="40" t="s">
        <v>6</v>
      </c>
      <c r="D61" s="13">
        <f>D60+D80*0.25</f>
        <v>1382.2725</v>
      </c>
      <c r="E61" s="28" t="s">
        <v>164</v>
      </c>
    </row>
    <row r="62" spans="1:5" s="24" customFormat="1" ht="18" customHeight="1" x14ac:dyDescent="0.25">
      <c r="A62" s="67" t="s">
        <v>113</v>
      </c>
      <c r="B62" s="68" t="s">
        <v>142</v>
      </c>
      <c r="C62" s="67"/>
      <c r="D62" s="69"/>
      <c r="E62" s="70"/>
    </row>
    <row r="63" spans="1:5" s="24" customFormat="1" ht="18" customHeight="1" x14ac:dyDescent="0.25">
      <c r="A63" s="11"/>
      <c r="B63" s="79" t="s">
        <v>165</v>
      </c>
      <c r="C63" s="40" t="s">
        <v>7</v>
      </c>
      <c r="D63" s="13">
        <f>'BANG KL TUYEN 2'!F13+'BANG KL TUYEN 3'!F13+'BANG KL TUYEN 4'!F13+'BANG KL TUYEN 5'!F23+'BANG KL TUYEN 6'!F9+'BANG KL TUYEN 7'!F15+'BANG KL TUYEN 8'!F15</f>
        <v>51.159485000000004</v>
      </c>
      <c r="E63" s="28" t="s">
        <v>166</v>
      </c>
    </row>
    <row r="64" spans="1:5" s="24" customFormat="1" ht="18" customHeight="1" x14ac:dyDescent="0.25">
      <c r="A64" s="11"/>
      <c r="B64" s="39" t="s">
        <v>176</v>
      </c>
      <c r="C64" s="40" t="s">
        <v>7</v>
      </c>
      <c r="D64" s="13">
        <f>'BANG KL TUYEN 2'!G13+'BANG KL TUYEN 3'!G13+'BANG KL TUYEN 4'!G13+'BANG KL TUYEN 5'!G23+'BANG KL TUYEN 6'!G9+'BANG KL TUYEN 7'!G15+'BANG KL TUYEN 8'!G15</f>
        <v>25.573</v>
      </c>
      <c r="E64" s="28" t="s">
        <v>166</v>
      </c>
    </row>
    <row r="65" spans="1:5" s="24" customFormat="1" ht="18" customHeight="1" x14ac:dyDescent="0.25">
      <c r="A65" s="11"/>
      <c r="B65" s="59" t="s">
        <v>172</v>
      </c>
      <c r="C65" s="60"/>
      <c r="D65" s="61"/>
      <c r="E65" s="28" t="s">
        <v>167</v>
      </c>
    </row>
    <row r="66" spans="1:5" s="24" customFormat="1" ht="18" customHeight="1" x14ac:dyDescent="0.25">
      <c r="A66" s="11"/>
      <c r="B66" s="39" t="s">
        <v>168</v>
      </c>
      <c r="C66" s="40" t="s">
        <v>6</v>
      </c>
      <c r="D66" s="13">
        <f>D30</f>
        <v>1118.0336</v>
      </c>
      <c r="E66" s="28" t="s">
        <v>169</v>
      </c>
    </row>
    <row r="67" spans="1:5" s="24" customFormat="1" ht="18" customHeight="1" x14ac:dyDescent="0.25">
      <c r="A67" s="11"/>
      <c r="B67" s="39" t="s">
        <v>157</v>
      </c>
      <c r="C67" s="40" t="s">
        <v>6</v>
      </c>
      <c r="D67" s="13">
        <f>D66</f>
        <v>1118.0336</v>
      </c>
      <c r="E67" s="28"/>
    </row>
    <row r="68" spans="1:5" s="24" customFormat="1" ht="18" customHeight="1" x14ac:dyDescent="0.25">
      <c r="A68" s="11"/>
      <c r="B68" s="39" t="s">
        <v>170</v>
      </c>
      <c r="C68" s="40" t="s">
        <v>6</v>
      </c>
      <c r="D68" s="13">
        <f>D67</f>
        <v>1118.0336</v>
      </c>
      <c r="E68" s="28"/>
    </row>
    <row r="69" spans="1:5" s="24" customFormat="1" ht="18" customHeight="1" x14ac:dyDescent="0.25">
      <c r="A69" s="11"/>
      <c r="B69" s="39" t="s">
        <v>171</v>
      </c>
      <c r="C69" s="40" t="s">
        <v>6</v>
      </c>
      <c r="D69" s="74">
        <f>'BANG KL TUYEN 2'!C15+'BANG KL TUYEN 3'!C15+'BANG KL TUYEN 4'!C15+'BANG KL TUYEN 5'!C25+'BANG KL TUYEN 6'!C11+'BANG KL TUYEN 7'!C17+'BANG KL TUYEN 8'!C17</f>
        <v>190.38331999999994</v>
      </c>
      <c r="E69" s="28" t="s">
        <v>173</v>
      </c>
    </row>
    <row r="70" spans="1:5" s="24" customFormat="1" ht="18" customHeight="1" x14ac:dyDescent="0.25">
      <c r="A70" s="67" t="s">
        <v>116</v>
      </c>
      <c r="B70" s="68" t="s">
        <v>114</v>
      </c>
      <c r="C70" s="67"/>
      <c r="D70" s="69"/>
      <c r="E70" s="70"/>
    </row>
    <row r="71" spans="1:5" s="24" customFormat="1" x14ac:dyDescent="0.25">
      <c r="A71" s="60"/>
      <c r="B71" s="59" t="s">
        <v>43</v>
      </c>
      <c r="C71" s="60" t="s">
        <v>6</v>
      </c>
      <c r="D71" s="61">
        <f>296+15+54</f>
        <v>365</v>
      </c>
      <c r="E71" s="62" t="s">
        <v>154</v>
      </c>
    </row>
    <row r="72" spans="1:5" s="24" customFormat="1" ht="18" customHeight="1" x14ac:dyDescent="0.25">
      <c r="A72" s="11"/>
      <c r="B72" s="79" t="s">
        <v>42</v>
      </c>
      <c r="C72" s="40" t="s">
        <v>7</v>
      </c>
      <c r="D72" s="13">
        <f>'BANG KL TUYEN 1'!F49</f>
        <v>72.353315000000009</v>
      </c>
      <c r="E72" s="28" t="s">
        <v>159</v>
      </c>
    </row>
    <row r="73" spans="1:5" s="24" customFormat="1" ht="18" customHeight="1" x14ac:dyDescent="0.25">
      <c r="A73" s="11"/>
      <c r="B73" s="39" t="s">
        <v>155</v>
      </c>
      <c r="C73" s="40" t="s">
        <v>6</v>
      </c>
      <c r="D73" s="13">
        <f>D71</f>
        <v>365</v>
      </c>
      <c r="E73" s="28"/>
    </row>
    <row r="74" spans="1:5" s="24" customFormat="1" ht="18" customHeight="1" x14ac:dyDescent="0.25">
      <c r="A74" s="11"/>
      <c r="B74" s="39" t="s">
        <v>156</v>
      </c>
      <c r="C74" s="40" t="s">
        <v>6</v>
      </c>
      <c r="D74" s="13">
        <f>D73</f>
        <v>365</v>
      </c>
      <c r="E74" s="28" t="s">
        <v>160</v>
      </c>
    </row>
    <row r="75" spans="1:5" s="24" customFormat="1" ht="18" customHeight="1" x14ac:dyDescent="0.25">
      <c r="A75" s="11"/>
      <c r="B75" s="39" t="s">
        <v>157</v>
      </c>
      <c r="C75" s="40" t="s">
        <v>6</v>
      </c>
      <c r="D75" s="13">
        <f>D74</f>
        <v>365</v>
      </c>
      <c r="E75" s="28" t="s">
        <v>160</v>
      </c>
    </row>
    <row r="76" spans="1:5" s="24" customFormat="1" ht="18" customHeight="1" x14ac:dyDescent="0.25">
      <c r="A76" s="11"/>
      <c r="B76" s="39" t="s">
        <v>158</v>
      </c>
      <c r="C76" s="40" t="s">
        <v>6</v>
      </c>
      <c r="D76" s="13">
        <f>D71</f>
        <v>365</v>
      </c>
      <c r="E76" s="28" t="s">
        <v>160</v>
      </c>
    </row>
    <row r="77" spans="1:5" s="24" customFormat="1" ht="18" customHeight="1" x14ac:dyDescent="0.25">
      <c r="A77" s="11"/>
      <c r="B77" s="39" t="s">
        <v>25</v>
      </c>
      <c r="C77" s="40" t="s">
        <v>5</v>
      </c>
      <c r="D77" s="13">
        <f>160+39+44+69</f>
        <v>312</v>
      </c>
      <c r="E77" s="28" t="s">
        <v>50</v>
      </c>
    </row>
    <row r="78" spans="1:5" s="24" customFormat="1" ht="18" customHeight="1" x14ac:dyDescent="0.25">
      <c r="A78" s="11"/>
      <c r="B78" s="39" t="s">
        <v>44</v>
      </c>
      <c r="C78" s="40" t="s">
        <v>26</v>
      </c>
      <c r="D78" s="13">
        <f>D77-D79/2</f>
        <v>303</v>
      </c>
      <c r="E78" s="28"/>
    </row>
    <row r="79" spans="1:5" s="24" customFormat="1" ht="18" customHeight="1" x14ac:dyDescent="0.25">
      <c r="A79" s="11"/>
      <c r="B79" s="39" t="s">
        <v>45</v>
      </c>
      <c r="C79" s="40" t="s">
        <v>26</v>
      </c>
      <c r="D79" s="13">
        <f>9*2</f>
        <v>18</v>
      </c>
      <c r="E79" s="28" t="s">
        <v>174</v>
      </c>
    </row>
    <row r="80" spans="1:5" s="24" customFormat="1" ht="18" customHeight="1" x14ac:dyDescent="0.25">
      <c r="A80" s="11"/>
      <c r="B80" s="39" t="s">
        <v>46</v>
      </c>
      <c r="C80" s="40" t="s">
        <v>5</v>
      </c>
      <c r="D80" s="13">
        <f>D77</f>
        <v>312</v>
      </c>
      <c r="E80" s="28" t="s">
        <v>48</v>
      </c>
    </row>
    <row r="81" spans="1:5" s="24" customFormat="1" ht="18" customHeight="1" x14ac:dyDescent="0.25">
      <c r="A81" s="11"/>
      <c r="B81" s="39" t="s">
        <v>47</v>
      </c>
      <c r="C81" s="40" t="s">
        <v>26</v>
      </c>
      <c r="D81" s="13">
        <f>D80*2</f>
        <v>624</v>
      </c>
      <c r="E81" s="28"/>
    </row>
    <row r="82" spans="1:5" s="24" customFormat="1" ht="18" customHeight="1" x14ac:dyDescent="0.25">
      <c r="A82" s="11"/>
      <c r="B82" s="39" t="s">
        <v>49</v>
      </c>
      <c r="C82" s="40" t="s">
        <v>5</v>
      </c>
      <c r="D82" s="13">
        <v>163</v>
      </c>
      <c r="E82" s="28" t="s">
        <v>11</v>
      </c>
    </row>
    <row r="83" spans="1:5" s="24" customFormat="1" ht="18" customHeight="1" x14ac:dyDescent="0.25">
      <c r="A83" s="5" t="s">
        <v>8</v>
      </c>
      <c r="B83" s="6" t="s">
        <v>13</v>
      </c>
      <c r="C83" s="14"/>
      <c r="D83" s="15"/>
      <c r="E83" s="23"/>
    </row>
    <row r="84" spans="1:5" s="24" customFormat="1" ht="18" customHeight="1" x14ac:dyDescent="0.25">
      <c r="A84" s="44">
        <v>1</v>
      </c>
      <c r="B84" s="45" t="s">
        <v>51</v>
      </c>
      <c r="C84" s="44" t="s">
        <v>52</v>
      </c>
      <c r="D84" s="46">
        <v>19</v>
      </c>
      <c r="E84" s="47" t="s">
        <v>53</v>
      </c>
    </row>
    <row r="85" spans="1:5" s="24" customFormat="1" ht="18" customHeight="1" x14ac:dyDescent="0.25">
      <c r="A85" s="18"/>
      <c r="B85" s="38" t="s">
        <v>56</v>
      </c>
      <c r="C85" s="20" t="s">
        <v>7</v>
      </c>
      <c r="D85" s="21">
        <f>D84*(2.8*2.8-1.34*1.34)*0.2</f>
        <v>22.968719999999998</v>
      </c>
      <c r="E85" s="27" t="s">
        <v>178</v>
      </c>
    </row>
    <row r="86" spans="1:5" s="24" customFormat="1" ht="18" customHeight="1" x14ac:dyDescent="0.25">
      <c r="A86" s="18"/>
      <c r="B86" s="38" t="s">
        <v>177</v>
      </c>
      <c r="C86" s="20" t="s">
        <v>7</v>
      </c>
      <c r="D86" s="21">
        <f>D84*(2.7*2.7-1.34*1.34)*0.3</f>
        <v>31.318080000000002</v>
      </c>
      <c r="E86" s="27" t="s">
        <v>179</v>
      </c>
    </row>
    <row r="87" spans="1:5" s="24" customFormat="1" ht="18" customHeight="1" x14ac:dyDescent="0.25">
      <c r="A87" s="18"/>
      <c r="B87" s="38" t="s">
        <v>54</v>
      </c>
      <c r="C87" s="20" t="s">
        <v>7</v>
      </c>
      <c r="D87" s="21">
        <f>D84*(2.55*2.55-1.34*1.34)*1.22</f>
        <v>109.10594199999998</v>
      </c>
      <c r="E87" s="27" t="s">
        <v>180</v>
      </c>
    </row>
    <row r="88" spans="1:5" s="24" customFormat="1" ht="18" customHeight="1" x14ac:dyDescent="0.25">
      <c r="A88" s="44">
        <v>2</v>
      </c>
      <c r="B88" s="45" t="s">
        <v>175</v>
      </c>
      <c r="C88" s="44" t="s">
        <v>52</v>
      </c>
      <c r="D88" s="46">
        <v>39</v>
      </c>
      <c r="E88" s="47"/>
    </row>
    <row r="89" spans="1:5" s="24" customFormat="1" ht="18" customHeight="1" x14ac:dyDescent="0.25">
      <c r="A89" s="18"/>
      <c r="B89" s="19" t="s">
        <v>54</v>
      </c>
      <c r="C89" s="20" t="s">
        <v>7</v>
      </c>
      <c r="D89" s="21">
        <f>D88*(2.5*2.5-1.24*1.24)*1.3</f>
        <v>238.91867999999997</v>
      </c>
      <c r="E89" s="27" t="s">
        <v>181</v>
      </c>
    </row>
    <row r="90" spans="1:5" s="24" customFormat="1" ht="18" customHeight="1" x14ac:dyDescent="0.25">
      <c r="A90" s="44">
        <v>3</v>
      </c>
      <c r="B90" s="45" t="s">
        <v>182</v>
      </c>
      <c r="C90" s="44" t="s">
        <v>52</v>
      </c>
      <c r="D90" s="46">
        <v>18</v>
      </c>
      <c r="E90" s="47"/>
    </row>
    <row r="91" spans="1:5" s="24" customFormat="1" ht="18" customHeight="1" x14ac:dyDescent="0.25">
      <c r="A91" s="18"/>
      <c r="B91" s="38" t="s">
        <v>56</v>
      </c>
      <c r="C91" s="20" t="s">
        <v>7</v>
      </c>
      <c r="D91" s="21">
        <f>D90*0.51</f>
        <v>9.18</v>
      </c>
      <c r="E91" s="27" t="s">
        <v>183</v>
      </c>
    </row>
    <row r="92" spans="1:5" s="24" customFormat="1" ht="18" customHeight="1" x14ac:dyDescent="0.25">
      <c r="A92" s="18"/>
      <c r="B92" s="38" t="s">
        <v>177</v>
      </c>
      <c r="C92" s="20" t="s">
        <v>7</v>
      </c>
      <c r="D92" s="21">
        <f>D90*0.69</f>
        <v>12.419999999999998</v>
      </c>
      <c r="E92" s="27" t="s">
        <v>184</v>
      </c>
    </row>
    <row r="93" spans="1:5" s="24" customFormat="1" ht="18" customHeight="1" x14ac:dyDescent="0.25">
      <c r="A93" s="18"/>
      <c r="B93" s="38" t="s">
        <v>54</v>
      </c>
      <c r="C93" s="20" t="s">
        <v>7</v>
      </c>
      <c r="D93" s="21">
        <f>D90*3.42</f>
        <v>61.56</v>
      </c>
      <c r="E93" s="27" t="s">
        <v>185</v>
      </c>
    </row>
    <row r="94" spans="1:5" s="24" customFormat="1" ht="18" customHeight="1" x14ac:dyDescent="0.25">
      <c r="A94" s="44">
        <v>4</v>
      </c>
      <c r="B94" s="45" t="s">
        <v>186</v>
      </c>
      <c r="C94" s="44" t="s">
        <v>52</v>
      </c>
      <c r="D94" s="46">
        <v>19</v>
      </c>
      <c r="E94" s="47"/>
    </row>
    <row r="95" spans="1:5" s="24" customFormat="1" ht="18" customHeight="1" x14ac:dyDescent="0.25">
      <c r="A95" s="18"/>
      <c r="B95" s="38" t="s">
        <v>177</v>
      </c>
      <c r="C95" s="20" t="s">
        <v>7</v>
      </c>
      <c r="D95" s="21">
        <f>D94*(1.51*1.31-0.72*0.52)*0.3</f>
        <v>9.1410900000000002</v>
      </c>
      <c r="E95" s="27" t="s">
        <v>188</v>
      </c>
    </row>
    <row r="96" spans="1:5" s="24" customFormat="1" ht="18" customHeight="1" x14ac:dyDescent="0.25">
      <c r="A96" s="18"/>
      <c r="B96" s="38" t="s">
        <v>54</v>
      </c>
      <c r="C96" s="20" t="s">
        <v>7</v>
      </c>
      <c r="D96" s="21">
        <f>D94*(1.36*1.16-0.72*0.52)*0.28</f>
        <v>6.4010240000000005</v>
      </c>
      <c r="E96" s="27" t="s">
        <v>187</v>
      </c>
    </row>
    <row r="97" spans="1:11" s="24" customFormat="1" ht="18" customHeight="1" x14ac:dyDescent="0.25">
      <c r="A97" s="44">
        <v>5</v>
      </c>
      <c r="B97" s="63" t="s">
        <v>55</v>
      </c>
      <c r="C97" s="44"/>
      <c r="D97" s="46"/>
      <c r="E97" s="47"/>
    </row>
    <row r="98" spans="1:11" s="24" customFormat="1" ht="18" customHeight="1" x14ac:dyDescent="0.25">
      <c r="A98" s="16"/>
      <c r="B98" s="12" t="s">
        <v>16</v>
      </c>
      <c r="C98" s="10" t="s">
        <v>5</v>
      </c>
      <c r="D98" s="17">
        <v>296.10000000000002</v>
      </c>
      <c r="E98" s="28" t="s">
        <v>40</v>
      </c>
    </row>
    <row r="99" spans="1:11" s="24" customFormat="1" ht="18" customHeight="1" x14ac:dyDescent="0.25">
      <c r="A99" s="16"/>
      <c r="B99" s="39" t="s">
        <v>58</v>
      </c>
      <c r="C99" s="40" t="s">
        <v>5</v>
      </c>
      <c r="D99" s="17">
        <f>D98-1.1*D84</f>
        <v>275.20000000000005</v>
      </c>
      <c r="E99" s="28"/>
    </row>
    <row r="100" spans="1:11" s="29" customFormat="1" ht="18" customHeight="1" x14ac:dyDescent="0.25">
      <c r="A100" s="18"/>
      <c r="B100" s="19" t="s">
        <v>57</v>
      </c>
      <c r="C100" s="20" t="s">
        <v>7</v>
      </c>
      <c r="D100" s="21">
        <f>D99*2.24</f>
        <v>616.44800000000021</v>
      </c>
      <c r="E100" s="27" t="s">
        <v>190</v>
      </c>
    </row>
    <row r="101" spans="1:11" s="24" customFormat="1" ht="18" customHeight="1" x14ac:dyDescent="0.25">
      <c r="A101" s="18"/>
      <c r="B101" s="19" t="s">
        <v>20</v>
      </c>
      <c r="C101" s="20" t="s">
        <v>5</v>
      </c>
      <c r="D101" s="21">
        <f>D99</f>
        <v>275.20000000000005</v>
      </c>
      <c r="E101" s="27"/>
    </row>
    <row r="102" spans="1:11" s="24" customFormat="1" ht="18" customHeight="1" x14ac:dyDescent="0.25">
      <c r="A102" s="18"/>
      <c r="B102" s="19" t="s">
        <v>17</v>
      </c>
      <c r="C102" s="20" t="s">
        <v>14</v>
      </c>
      <c r="D102" s="41">
        <f>D99/2+1</f>
        <v>138.60000000000002</v>
      </c>
      <c r="E102" s="27" t="s">
        <v>24</v>
      </c>
    </row>
    <row r="103" spans="1:11" s="24" customFormat="1" ht="18" customHeight="1" x14ac:dyDescent="0.25">
      <c r="A103" s="18"/>
      <c r="B103" s="19" t="s">
        <v>18</v>
      </c>
      <c r="C103" s="20" t="s">
        <v>9</v>
      </c>
      <c r="D103" s="41">
        <f>D102*3</f>
        <v>415.80000000000007</v>
      </c>
      <c r="E103" s="27" t="s">
        <v>19</v>
      </c>
    </row>
    <row r="104" spans="1:11" s="29" customFormat="1" ht="18" customHeight="1" x14ac:dyDescent="0.25">
      <c r="A104" s="18"/>
      <c r="B104" s="38" t="s">
        <v>70</v>
      </c>
      <c r="C104" s="20" t="s">
        <v>7</v>
      </c>
      <c r="D104" s="21">
        <f>D99*0.75</f>
        <v>206.40000000000003</v>
      </c>
      <c r="E104" s="27" t="s">
        <v>192</v>
      </c>
    </row>
    <row r="105" spans="1:11" s="29" customFormat="1" ht="18" customHeight="1" x14ac:dyDescent="0.25">
      <c r="A105" s="18"/>
      <c r="B105" s="38" t="s">
        <v>189</v>
      </c>
      <c r="C105" s="20" t="s">
        <v>7</v>
      </c>
      <c r="D105" s="21">
        <f>D99*0.56</f>
        <v>154.11200000000005</v>
      </c>
      <c r="E105" s="27" t="s">
        <v>191</v>
      </c>
    </row>
    <row r="106" spans="1:11" s="30" customFormat="1" ht="18" customHeight="1" x14ac:dyDescent="0.25">
      <c r="A106" s="18"/>
      <c r="B106" s="38" t="s">
        <v>59</v>
      </c>
      <c r="C106" s="20" t="s">
        <v>7</v>
      </c>
      <c r="D106" s="21">
        <f>D99*0.4</f>
        <v>110.08000000000003</v>
      </c>
      <c r="E106" s="27" t="s">
        <v>60</v>
      </c>
    </row>
    <row r="107" spans="1:11" s="26" customFormat="1" ht="18" customHeight="1" x14ac:dyDescent="0.25">
      <c r="A107" s="44">
        <v>6</v>
      </c>
      <c r="B107" s="45" t="s">
        <v>61</v>
      </c>
      <c r="C107" s="44"/>
      <c r="D107" s="46"/>
      <c r="E107" s="47"/>
      <c r="K107" s="31"/>
    </row>
    <row r="108" spans="1:11" s="26" customFormat="1" ht="18" customHeight="1" x14ac:dyDescent="0.25">
      <c r="A108" s="18"/>
      <c r="B108" s="19" t="s">
        <v>62</v>
      </c>
      <c r="C108" s="20" t="s">
        <v>5</v>
      </c>
      <c r="D108" s="21">
        <v>499.5</v>
      </c>
      <c r="E108" s="27" t="s">
        <v>11</v>
      </c>
      <c r="K108" s="31"/>
    </row>
    <row r="109" spans="1:11" s="26" customFormat="1" ht="18" customHeight="1" x14ac:dyDescent="0.25">
      <c r="A109" s="18"/>
      <c r="B109" s="38" t="s">
        <v>193</v>
      </c>
      <c r="C109" s="20" t="s">
        <v>5</v>
      </c>
      <c r="D109" s="21">
        <f>D108-0.8*D88</f>
        <v>468.3</v>
      </c>
      <c r="E109" s="27"/>
      <c r="K109" s="31"/>
    </row>
    <row r="110" spans="1:11" s="26" customFormat="1" ht="18" customHeight="1" x14ac:dyDescent="0.25">
      <c r="A110" s="18"/>
      <c r="B110" s="19" t="s">
        <v>57</v>
      </c>
      <c r="C110" s="20" t="s">
        <v>7</v>
      </c>
      <c r="D110" s="21">
        <f>D109*1.09</f>
        <v>510.44700000000006</v>
      </c>
      <c r="E110" s="27" t="s">
        <v>194</v>
      </c>
      <c r="K110" s="31"/>
    </row>
    <row r="111" spans="1:11" s="26" customFormat="1" ht="18" customHeight="1" x14ac:dyDescent="0.25">
      <c r="A111" s="18"/>
      <c r="B111" s="19" t="s">
        <v>64</v>
      </c>
      <c r="C111" s="20" t="s">
        <v>5</v>
      </c>
      <c r="D111" s="21">
        <f>D109</f>
        <v>468.3</v>
      </c>
      <c r="E111" s="27"/>
      <c r="K111" s="31"/>
    </row>
    <row r="112" spans="1:11" s="26" customFormat="1" ht="18" customHeight="1" x14ac:dyDescent="0.25">
      <c r="A112" s="18"/>
      <c r="B112" s="19" t="s">
        <v>84</v>
      </c>
      <c r="C112" s="20" t="s">
        <v>14</v>
      </c>
      <c r="D112" s="41">
        <f>D109+1</f>
        <v>469.3</v>
      </c>
      <c r="E112" s="27" t="s">
        <v>24</v>
      </c>
      <c r="K112" s="31"/>
    </row>
    <row r="113" spans="1:11" s="26" customFormat="1" ht="18" customHeight="1" x14ac:dyDescent="0.25">
      <c r="A113" s="18"/>
      <c r="B113" s="19" t="s">
        <v>63</v>
      </c>
      <c r="C113" s="20" t="s">
        <v>9</v>
      </c>
      <c r="D113" s="21">
        <f>469*2</f>
        <v>938</v>
      </c>
      <c r="E113" s="27" t="s">
        <v>65</v>
      </c>
      <c r="K113" s="31"/>
    </row>
    <row r="114" spans="1:11" s="26" customFormat="1" ht="18" customHeight="1" x14ac:dyDescent="0.25">
      <c r="A114" s="18"/>
      <c r="B114" s="19" t="s">
        <v>70</v>
      </c>
      <c r="C114" s="20" t="s">
        <v>7</v>
      </c>
      <c r="D114" s="21">
        <f>D109*0.86</f>
        <v>402.738</v>
      </c>
      <c r="E114" s="27" t="s">
        <v>195</v>
      </c>
      <c r="K114" s="31"/>
    </row>
    <row r="115" spans="1:11" s="26" customFormat="1" ht="18" customHeight="1" x14ac:dyDescent="0.25">
      <c r="A115" s="44">
        <v>7</v>
      </c>
      <c r="B115" s="45" t="s">
        <v>66</v>
      </c>
      <c r="C115" s="44"/>
      <c r="D115" s="46"/>
      <c r="E115" s="47"/>
      <c r="K115" s="31"/>
    </row>
    <row r="116" spans="1:11" s="26" customFormat="1" ht="18" customHeight="1" x14ac:dyDescent="0.25">
      <c r="A116" s="18"/>
      <c r="B116" s="19" t="s">
        <v>67</v>
      </c>
      <c r="C116" s="20" t="s">
        <v>5</v>
      </c>
      <c r="D116" s="64">
        <v>180</v>
      </c>
      <c r="E116" s="27" t="s">
        <v>11</v>
      </c>
      <c r="K116" s="31"/>
    </row>
    <row r="117" spans="1:11" s="26" customFormat="1" ht="18" customHeight="1" x14ac:dyDescent="0.25">
      <c r="A117" s="18"/>
      <c r="B117" s="19" t="s">
        <v>68</v>
      </c>
      <c r="C117" s="20" t="s">
        <v>7</v>
      </c>
      <c r="D117" s="64">
        <f>D116*0.39</f>
        <v>70.2</v>
      </c>
      <c r="E117" s="27" t="s">
        <v>71</v>
      </c>
      <c r="K117" s="31"/>
    </row>
    <row r="118" spans="1:11" s="26" customFormat="1" ht="18" customHeight="1" x14ac:dyDescent="0.25">
      <c r="A118" s="18"/>
      <c r="B118" s="19" t="s">
        <v>69</v>
      </c>
      <c r="C118" s="20" t="s">
        <v>7</v>
      </c>
      <c r="D118" s="64">
        <f>D116*0.31</f>
        <v>55.8</v>
      </c>
      <c r="E118" s="27" t="s">
        <v>15</v>
      </c>
      <c r="K118" s="31"/>
    </row>
    <row r="119" spans="1:11" s="26" customFormat="1" ht="18" customHeight="1" x14ac:dyDescent="0.25">
      <c r="A119" s="44">
        <v>8</v>
      </c>
      <c r="B119" s="45" t="s">
        <v>196</v>
      </c>
      <c r="C119" s="44"/>
      <c r="D119" s="46"/>
      <c r="E119" s="47"/>
      <c r="K119" s="31"/>
    </row>
    <row r="120" spans="1:11" s="26" customFormat="1" ht="18" customHeight="1" x14ac:dyDescent="0.25">
      <c r="A120" s="42"/>
      <c r="B120" s="77" t="s">
        <v>197</v>
      </c>
      <c r="C120" s="75" t="s">
        <v>9</v>
      </c>
      <c r="D120" s="76">
        <v>1</v>
      </c>
      <c r="E120" s="43"/>
      <c r="K120" s="31"/>
    </row>
    <row r="121" spans="1:11" x14ac:dyDescent="0.25">
      <c r="A121" s="5" t="s">
        <v>72</v>
      </c>
      <c r="B121" s="6" t="s">
        <v>73</v>
      </c>
      <c r="C121" s="14"/>
      <c r="D121" s="15"/>
      <c r="E121" s="23"/>
    </row>
    <row r="122" spans="1:11" ht="33" x14ac:dyDescent="0.25">
      <c r="A122" s="18"/>
      <c r="B122" s="38" t="s">
        <v>78</v>
      </c>
      <c r="C122" s="20" t="s">
        <v>74</v>
      </c>
      <c r="D122" s="64">
        <f>720*15/10000</f>
        <v>1.08</v>
      </c>
      <c r="E122" s="27" t="s">
        <v>198</v>
      </c>
    </row>
    <row r="123" spans="1:11" x14ac:dyDescent="0.25">
      <c r="A123" s="18"/>
      <c r="B123" s="38" t="s">
        <v>79</v>
      </c>
      <c r="C123" s="20" t="s">
        <v>75</v>
      </c>
      <c r="D123" s="64">
        <v>4</v>
      </c>
      <c r="E123" s="27"/>
    </row>
    <row r="124" spans="1:11" x14ac:dyDescent="0.25">
      <c r="A124" s="18"/>
      <c r="B124" s="38" t="s">
        <v>80</v>
      </c>
      <c r="C124" s="20" t="s">
        <v>76</v>
      </c>
      <c r="D124" s="64">
        <v>0.72</v>
      </c>
      <c r="E124" s="27"/>
    </row>
    <row r="125" spans="1:11" x14ac:dyDescent="0.25">
      <c r="A125" s="18"/>
      <c r="B125" s="38" t="s">
        <v>81</v>
      </c>
      <c r="C125" s="20" t="s">
        <v>77</v>
      </c>
      <c r="D125" s="64">
        <v>7.2</v>
      </c>
      <c r="E125" s="27"/>
    </row>
    <row r="126" spans="1:11" x14ac:dyDescent="0.25">
      <c r="A126" s="18"/>
      <c r="B126" s="38" t="s">
        <v>82</v>
      </c>
      <c r="C126" s="20" t="s">
        <v>77</v>
      </c>
      <c r="D126" s="64">
        <f>61*15/100</f>
        <v>9.15</v>
      </c>
      <c r="E126" s="27" t="s">
        <v>199</v>
      </c>
    </row>
    <row r="127" spans="1:11" x14ac:dyDescent="0.25">
      <c r="D127" s="36"/>
    </row>
    <row r="128" spans="1:11" x14ac:dyDescent="0.25">
      <c r="D128" s="36"/>
    </row>
    <row r="129" spans="4:4" x14ac:dyDescent="0.25">
      <c r="D129" s="36"/>
    </row>
    <row r="130" spans="4:4" x14ac:dyDescent="0.25">
      <c r="D130" s="36"/>
    </row>
    <row r="131" spans="4:4" x14ac:dyDescent="0.25">
      <c r="D131" s="36"/>
    </row>
    <row r="132" spans="4:4" x14ac:dyDescent="0.25">
      <c r="D132" s="36"/>
    </row>
    <row r="133" spans="4:4" x14ac:dyDescent="0.25">
      <c r="D133" s="36"/>
    </row>
    <row r="134" spans="4:4" x14ac:dyDescent="0.25">
      <c r="D134" s="36"/>
    </row>
    <row r="135" spans="4:4" x14ac:dyDescent="0.25">
      <c r="D135" s="36"/>
    </row>
    <row r="136" spans="4:4" x14ac:dyDescent="0.25">
      <c r="D136" s="36"/>
    </row>
    <row r="137" spans="4:4" x14ac:dyDescent="0.25">
      <c r="D137" s="36"/>
    </row>
    <row r="138" spans="4:4" x14ac:dyDescent="0.25">
      <c r="D138" s="36"/>
    </row>
    <row r="139" spans="4:4" x14ac:dyDescent="0.25">
      <c r="D139" s="36"/>
    </row>
    <row r="140" spans="4:4" x14ac:dyDescent="0.25">
      <c r="D140" s="36"/>
    </row>
    <row r="141" spans="4:4" x14ac:dyDescent="0.25">
      <c r="D141" s="36"/>
    </row>
    <row r="142" spans="4:4" x14ac:dyDescent="0.25">
      <c r="D142" s="36"/>
    </row>
    <row r="143" spans="4:4" x14ac:dyDescent="0.25">
      <c r="D143" s="36"/>
    </row>
    <row r="144" spans="4:4" x14ac:dyDescent="0.25">
      <c r="D144" s="36"/>
    </row>
    <row r="145" spans="4:4" x14ac:dyDescent="0.25">
      <c r="D145" s="36"/>
    </row>
    <row r="146" spans="4:4" x14ac:dyDescent="0.25">
      <c r="D146" s="36"/>
    </row>
    <row r="147" spans="4:4" x14ac:dyDescent="0.25">
      <c r="D147" s="36"/>
    </row>
  </sheetData>
  <mergeCells count="1">
    <mergeCell ref="A1:E1"/>
  </mergeCells>
  <pageMargins left="0.36" right="0.23622047244094491" top="0.34" bottom="0.3149606299212598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3" topLeftCell="A4" activePane="bottomLeft" state="frozen"/>
      <selection pane="bottomLeft" activeCell="H38" sqref="H38"/>
    </sheetView>
  </sheetViews>
  <sheetFormatPr defaultRowHeight="15" x14ac:dyDescent="0.25"/>
  <cols>
    <col min="2" max="2" width="14.7109375" customWidth="1"/>
    <col min="3" max="6" width="15.7109375" customWidth="1"/>
  </cols>
  <sheetData>
    <row r="1" spans="1:6" ht="18" x14ac:dyDescent="0.25">
      <c r="A1" s="85" t="s">
        <v>89</v>
      </c>
      <c r="B1" s="86"/>
      <c r="C1" s="86"/>
      <c r="D1" s="86"/>
      <c r="E1" s="86"/>
      <c r="F1" s="86"/>
    </row>
    <row r="2" spans="1:6" ht="31.5" x14ac:dyDescent="0.25">
      <c r="A2" s="87" t="s">
        <v>27</v>
      </c>
      <c r="B2" s="48" t="s">
        <v>28</v>
      </c>
      <c r="C2" s="48" t="s">
        <v>29</v>
      </c>
      <c r="D2" s="48" t="s">
        <v>30</v>
      </c>
      <c r="E2" s="48" t="s">
        <v>31</v>
      </c>
      <c r="F2" s="48" t="s">
        <v>32</v>
      </c>
    </row>
    <row r="3" spans="1:6" ht="15.75" x14ac:dyDescent="0.25">
      <c r="A3" s="88"/>
      <c r="B3" s="49" t="s">
        <v>33</v>
      </c>
      <c r="C3" s="49" t="s">
        <v>34</v>
      </c>
      <c r="D3" s="49" t="s">
        <v>90</v>
      </c>
      <c r="E3" s="49" t="s">
        <v>35</v>
      </c>
      <c r="F3" s="49" t="s">
        <v>35</v>
      </c>
    </row>
    <row r="4" spans="1:6" ht="15.75" x14ac:dyDescent="0.25">
      <c r="A4" s="50">
        <v>1</v>
      </c>
      <c r="B4" s="57"/>
      <c r="C4" s="57">
        <v>1.403</v>
      </c>
      <c r="D4" s="57">
        <v>0.22</v>
      </c>
      <c r="E4" s="57"/>
      <c r="F4" s="57"/>
    </row>
    <row r="5" spans="1:6" ht="15.75" x14ac:dyDescent="0.25">
      <c r="A5" s="51"/>
      <c r="B5" s="52">
        <v>5.14</v>
      </c>
      <c r="C5" s="52"/>
      <c r="D5" s="52"/>
      <c r="E5" s="58">
        <f>(C4+C6)*$B5/2</f>
        <v>7.2083360000000001</v>
      </c>
      <c r="F5" s="58">
        <f>(D4+D6)*$B5/2</f>
        <v>1.5933999999999999</v>
      </c>
    </row>
    <row r="6" spans="1:6" ht="15.75" x14ac:dyDescent="0.25">
      <c r="A6" s="51">
        <v>2</v>
      </c>
      <c r="B6" s="52"/>
      <c r="C6" s="52">
        <v>1.4018000000000002</v>
      </c>
      <c r="D6" s="52">
        <v>0.4</v>
      </c>
      <c r="E6" s="52"/>
      <c r="F6" s="52"/>
    </row>
    <row r="7" spans="1:6" ht="15.75" x14ac:dyDescent="0.25">
      <c r="A7" s="51"/>
      <c r="B7" s="52">
        <v>15.32</v>
      </c>
      <c r="C7" s="52"/>
      <c r="D7" s="52"/>
      <c r="E7" s="58">
        <f t="shared" ref="E7" si="0">(C6+C8)*$B7/2</f>
        <v>22.624576000000001</v>
      </c>
      <c r="F7" s="58">
        <f t="shared" ref="F7" si="1">(D6+D8)*$B7/2</f>
        <v>6.1433200000000001</v>
      </c>
    </row>
    <row r="8" spans="1:6" ht="15.75" x14ac:dyDescent="0.25">
      <c r="A8" s="51">
        <v>3</v>
      </c>
      <c r="B8" s="52"/>
      <c r="C8" s="52">
        <v>1.5518000000000001</v>
      </c>
      <c r="D8" s="52">
        <v>0.40199999999999997</v>
      </c>
      <c r="E8" s="52"/>
      <c r="F8" s="52"/>
    </row>
    <row r="9" spans="1:6" ht="15.75" x14ac:dyDescent="0.25">
      <c r="A9" s="51"/>
      <c r="B9" s="52">
        <v>15.32</v>
      </c>
      <c r="C9" s="52"/>
      <c r="D9" s="52"/>
      <c r="E9" s="58">
        <f t="shared" ref="E9" si="2">(C8+C10)*$B9/2</f>
        <v>24.462976000000001</v>
      </c>
      <c r="F9" s="58">
        <f t="shared" ref="F9" si="3">(D8+D10)*$B9/2</f>
        <v>5.6607399999999997</v>
      </c>
    </row>
    <row r="10" spans="1:6" ht="15.75" x14ac:dyDescent="0.25">
      <c r="A10" s="53" t="s">
        <v>91</v>
      </c>
      <c r="B10" s="54"/>
      <c r="C10" s="54">
        <v>1.6418000000000001</v>
      </c>
      <c r="D10" s="54">
        <v>0.33700000000000002</v>
      </c>
      <c r="E10" s="52"/>
      <c r="F10" s="52"/>
    </row>
    <row r="11" spans="1:6" ht="15.75" x14ac:dyDescent="0.25">
      <c r="A11" s="51"/>
      <c r="B11" s="52">
        <v>19.73</v>
      </c>
      <c r="C11" s="52"/>
      <c r="D11" s="52"/>
      <c r="E11" s="58">
        <f t="shared" ref="E11" si="4">(C10+C12)*$B11/2</f>
        <v>31.110264000000001</v>
      </c>
      <c r="F11" s="58">
        <f t="shared" ref="F11" si="5">(D10+D12)*$B11/2</f>
        <v>7.4678050000000002</v>
      </c>
    </row>
    <row r="12" spans="1:6" ht="15.75" x14ac:dyDescent="0.25">
      <c r="A12" s="51">
        <v>4</v>
      </c>
      <c r="B12" s="52"/>
      <c r="C12" s="52">
        <v>1.5118</v>
      </c>
      <c r="D12" s="52">
        <v>0.42</v>
      </c>
      <c r="E12" s="52"/>
      <c r="F12" s="52"/>
    </row>
    <row r="13" spans="1:6" ht="15.75" x14ac:dyDescent="0.25">
      <c r="A13" s="51"/>
      <c r="B13" s="52">
        <v>20</v>
      </c>
      <c r="C13" s="52"/>
      <c r="D13" s="52"/>
      <c r="E13" s="58">
        <f t="shared" ref="E13" si="6">(C12+C14)*$B13/2</f>
        <v>31.736000000000004</v>
      </c>
      <c r="F13" s="58">
        <f t="shared" ref="F13" si="7">(D12+D14)*$B13/2</f>
        <v>10</v>
      </c>
    </row>
    <row r="14" spans="1:6" ht="15.75" x14ac:dyDescent="0.25">
      <c r="A14" s="51">
        <v>5</v>
      </c>
      <c r="B14" s="52"/>
      <c r="C14" s="52">
        <v>1.6618000000000002</v>
      </c>
      <c r="D14" s="52">
        <v>0.57999999999999996</v>
      </c>
      <c r="E14" s="52"/>
      <c r="F14" s="52"/>
    </row>
    <row r="15" spans="1:6" ht="15.75" x14ac:dyDescent="0.25">
      <c r="A15" s="51"/>
      <c r="B15" s="52">
        <v>19.87</v>
      </c>
      <c r="C15" s="52"/>
      <c r="D15" s="52"/>
      <c r="E15" s="58">
        <f t="shared" ref="E15" si="8">(C14+C16)*$B15/2</f>
        <v>33.069641000000004</v>
      </c>
      <c r="F15" s="58">
        <f t="shared" ref="F15" si="9">(D14+D16)*$B15/2</f>
        <v>11.7233</v>
      </c>
    </row>
    <row r="16" spans="1:6" ht="15.75" x14ac:dyDescent="0.25">
      <c r="A16" s="51" t="s">
        <v>92</v>
      </c>
      <c r="B16" s="52"/>
      <c r="C16" s="52">
        <v>1.6668000000000001</v>
      </c>
      <c r="D16" s="52">
        <v>0.6</v>
      </c>
      <c r="E16" s="52"/>
      <c r="F16" s="52"/>
    </row>
    <row r="17" spans="1:6" ht="15.75" x14ac:dyDescent="0.25">
      <c r="A17" s="51"/>
      <c r="B17" s="52">
        <v>17</v>
      </c>
      <c r="C17" s="52"/>
      <c r="D17" s="52"/>
      <c r="E17" s="58">
        <f t="shared" ref="E17" si="10">(C16+C18)*$B17/2</f>
        <v>27.485600000000002</v>
      </c>
      <c r="F17" s="58">
        <f t="shared" ref="F17" si="11">(D16+D18)*$B17/2</f>
        <v>10.013</v>
      </c>
    </row>
    <row r="18" spans="1:6" ht="15.75" x14ac:dyDescent="0.25">
      <c r="A18" s="51">
        <v>6</v>
      </c>
      <c r="B18" s="52"/>
      <c r="C18" s="52">
        <v>1.5668000000000002</v>
      </c>
      <c r="D18" s="52">
        <v>0.57799999999999996</v>
      </c>
      <c r="E18" s="52"/>
      <c r="F18" s="52"/>
    </row>
    <row r="19" spans="1:6" ht="15.75" x14ac:dyDescent="0.25">
      <c r="A19" s="51"/>
      <c r="B19" s="52">
        <v>18</v>
      </c>
      <c r="C19" s="52"/>
      <c r="D19" s="52"/>
      <c r="E19" s="58">
        <f t="shared" ref="E19" si="12">(C18+C20)*$B19/2</f>
        <v>26.4924</v>
      </c>
      <c r="F19" s="58">
        <f t="shared" ref="F19" si="13">(D18+D20)*$B19/2</f>
        <v>10.152000000000001</v>
      </c>
    </row>
    <row r="20" spans="1:6" ht="15.75" x14ac:dyDescent="0.25">
      <c r="A20" s="51">
        <v>7</v>
      </c>
      <c r="B20" s="52"/>
      <c r="C20" s="52">
        <v>1.3768</v>
      </c>
      <c r="D20" s="52">
        <v>0.55000000000000004</v>
      </c>
      <c r="E20" s="52"/>
      <c r="F20" s="52"/>
    </row>
    <row r="21" spans="1:6" ht="15.75" x14ac:dyDescent="0.25">
      <c r="A21" s="51"/>
      <c r="B21" s="52">
        <v>16.989999999999998</v>
      </c>
      <c r="C21" s="52"/>
      <c r="D21" s="52"/>
      <c r="E21" s="58">
        <f t="shared" ref="E21" si="14">(C20+C22)*$B21/2</f>
        <v>22.604345499999997</v>
      </c>
      <c r="F21" s="58">
        <f t="shared" ref="F21" si="15">(D20+D22)*$B21/2</f>
        <v>7.2207499999999998</v>
      </c>
    </row>
    <row r="22" spans="1:6" ht="15.75" x14ac:dyDescent="0.25">
      <c r="A22" s="51" t="s">
        <v>93</v>
      </c>
      <c r="B22" s="52"/>
      <c r="C22" s="52">
        <v>1.2841</v>
      </c>
      <c r="D22" s="52">
        <v>0.3</v>
      </c>
      <c r="E22" s="52"/>
      <c r="F22" s="52"/>
    </row>
    <row r="23" spans="1:6" ht="15.75" x14ac:dyDescent="0.25">
      <c r="A23" s="51"/>
      <c r="B23" s="52">
        <v>15.86</v>
      </c>
      <c r="C23" s="52"/>
      <c r="D23" s="52"/>
      <c r="E23" s="58">
        <f t="shared" ref="E23" si="16">(C22+C24)*$B23/2</f>
        <v>20.474467000000001</v>
      </c>
      <c r="F23" s="58">
        <f t="shared" ref="F23" si="17">(D22+D24)*$B23/2</f>
        <v>2.379</v>
      </c>
    </row>
    <row r="24" spans="1:6" ht="15.75" x14ac:dyDescent="0.25">
      <c r="A24" s="51" t="s">
        <v>94</v>
      </c>
      <c r="B24" s="52"/>
      <c r="C24" s="52">
        <v>1.2978000000000001</v>
      </c>
      <c r="D24" s="52">
        <v>0</v>
      </c>
      <c r="E24" s="52"/>
      <c r="F24" s="52"/>
    </row>
    <row r="25" spans="1:6" ht="15.75" x14ac:dyDescent="0.25">
      <c r="A25" s="51"/>
      <c r="B25" s="52">
        <v>17.75</v>
      </c>
      <c r="C25" s="52"/>
      <c r="D25" s="52"/>
      <c r="E25" s="58">
        <f t="shared" ref="E25" si="18">(C24+C26)*$B25/2</f>
        <v>19.757525000000005</v>
      </c>
      <c r="F25" s="58">
        <f t="shared" ref="F25" si="19">(D24+D26)*$B25/2</f>
        <v>0</v>
      </c>
    </row>
    <row r="26" spans="1:6" ht="15.75" x14ac:dyDescent="0.25">
      <c r="A26" s="51">
        <v>8</v>
      </c>
      <c r="B26" s="52"/>
      <c r="C26" s="52">
        <v>0.92840000000000011</v>
      </c>
      <c r="D26" s="52">
        <v>0</v>
      </c>
      <c r="E26" s="52"/>
      <c r="F26" s="52"/>
    </row>
    <row r="27" spans="1:6" ht="15.75" x14ac:dyDescent="0.25">
      <c r="A27" s="51"/>
      <c r="B27" s="52">
        <v>17.739999999999998</v>
      </c>
      <c r="C27" s="52"/>
      <c r="D27" s="52"/>
      <c r="E27" s="58">
        <f t="shared" ref="E27" si="20">(C26+C28)*$B27/2</f>
        <v>15.468393000000001</v>
      </c>
      <c r="F27" s="58">
        <f t="shared" ref="F27" si="21">(D26+D28)*$B27/2</f>
        <v>0</v>
      </c>
    </row>
    <row r="28" spans="1:6" ht="15.75" x14ac:dyDescent="0.25">
      <c r="A28" s="51" t="s">
        <v>36</v>
      </c>
      <c r="B28" s="52"/>
      <c r="C28" s="52">
        <v>0.81550000000000011</v>
      </c>
      <c r="D28" s="52">
        <v>0</v>
      </c>
      <c r="E28" s="52"/>
      <c r="F28" s="52"/>
    </row>
    <row r="29" spans="1:6" ht="15.75" x14ac:dyDescent="0.25">
      <c r="A29" s="51"/>
      <c r="B29" s="52">
        <v>9.66</v>
      </c>
      <c r="C29" s="52"/>
      <c r="D29" s="52"/>
      <c r="E29" s="58">
        <f t="shared" ref="E29" si="22">(C28+C30)*$B29/2</f>
        <v>8.0796240000000008</v>
      </c>
      <c r="F29" s="58">
        <f t="shared" ref="F29" si="23">(D28+D30)*$B29/2</f>
        <v>0</v>
      </c>
    </row>
    <row r="30" spans="1:6" ht="15.75" x14ac:dyDescent="0.25">
      <c r="A30" s="51" t="s">
        <v>37</v>
      </c>
      <c r="B30" s="52"/>
      <c r="C30" s="52">
        <v>0.85729999999999995</v>
      </c>
      <c r="D30" s="52">
        <v>0</v>
      </c>
      <c r="E30" s="52"/>
      <c r="F30" s="52"/>
    </row>
    <row r="31" spans="1:6" ht="15.75" x14ac:dyDescent="0.25">
      <c r="A31" s="51"/>
      <c r="B31" s="52">
        <v>9.66</v>
      </c>
      <c r="C31" s="52"/>
      <c r="D31" s="52"/>
      <c r="E31" s="58">
        <f t="shared" ref="E31" si="24">(C30+C32)*$B31/2</f>
        <v>7.1421209999999995</v>
      </c>
      <c r="F31" s="58">
        <f t="shared" ref="F31" si="25">(D30+D32)*$B31/2</f>
        <v>0</v>
      </c>
    </row>
    <row r="32" spans="1:6" ht="15.75" x14ac:dyDescent="0.25">
      <c r="A32" s="51" t="s">
        <v>38</v>
      </c>
      <c r="B32" s="52"/>
      <c r="C32" s="52">
        <v>0.62139999999999995</v>
      </c>
      <c r="D32" s="52">
        <v>0</v>
      </c>
      <c r="E32" s="52"/>
      <c r="F32" s="52"/>
    </row>
    <row r="33" spans="1:6" ht="15.75" x14ac:dyDescent="0.25">
      <c r="A33" s="51"/>
      <c r="B33" s="52">
        <v>16</v>
      </c>
      <c r="C33" s="52"/>
      <c r="D33" s="52"/>
      <c r="E33" s="58">
        <f t="shared" ref="E33" si="26">(C32+C34)*$B33/2</f>
        <v>10.978400000000001</v>
      </c>
      <c r="F33" s="58">
        <f t="shared" ref="F33" si="27">(D32+D34)*$B33/2</f>
        <v>0</v>
      </c>
    </row>
    <row r="34" spans="1:6" ht="15.75" x14ac:dyDescent="0.25">
      <c r="A34" s="51">
        <v>9</v>
      </c>
      <c r="B34" s="52"/>
      <c r="C34" s="52">
        <v>0.75090000000000001</v>
      </c>
      <c r="D34" s="52">
        <v>0</v>
      </c>
      <c r="E34" s="52"/>
      <c r="F34" s="52"/>
    </row>
    <row r="35" spans="1:6" ht="15.75" x14ac:dyDescent="0.25">
      <c r="A35" s="51"/>
      <c r="B35" s="52">
        <v>16</v>
      </c>
      <c r="C35" s="52"/>
      <c r="D35" s="52"/>
      <c r="E35" s="58">
        <f t="shared" ref="E35" si="28">(C34+C36)*$B35/2</f>
        <v>11.246400000000001</v>
      </c>
      <c r="F35" s="58">
        <f t="shared" ref="F35" si="29">(D34+D36)*$B35/2</f>
        <v>0</v>
      </c>
    </row>
    <row r="36" spans="1:6" ht="15.75" x14ac:dyDescent="0.25">
      <c r="A36" s="51">
        <v>10</v>
      </c>
      <c r="B36" s="52"/>
      <c r="C36" s="52">
        <v>0.65490000000000004</v>
      </c>
      <c r="D36" s="52">
        <v>0</v>
      </c>
      <c r="E36" s="52"/>
      <c r="F36" s="52"/>
    </row>
    <row r="37" spans="1:6" ht="15.75" x14ac:dyDescent="0.25">
      <c r="A37" s="51"/>
      <c r="B37" s="52">
        <v>15.15</v>
      </c>
      <c r="C37" s="52"/>
      <c r="D37" s="52"/>
      <c r="E37" s="58">
        <f t="shared" ref="E37" si="30">(C36+C38)*$B37/2</f>
        <v>9.1225725000000004</v>
      </c>
      <c r="F37" s="58">
        <f t="shared" ref="F37" si="31">(D36+D38)*$B37/2</f>
        <v>0</v>
      </c>
    </row>
    <row r="38" spans="1:6" ht="15.75" x14ac:dyDescent="0.25">
      <c r="A38" s="51" t="s">
        <v>95</v>
      </c>
      <c r="B38" s="52"/>
      <c r="C38" s="52">
        <v>0.5494</v>
      </c>
      <c r="D38" s="52">
        <v>0</v>
      </c>
      <c r="E38" s="52"/>
      <c r="F38" s="52"/>
    </row>
    <row r="39" spans="1:6" ht="15.75" x14ac:dyDescent="0.25">
      <c r="A39" s="51"/>
      <c r="B39" s="52">
        <v>14.87</v>
      </c>
      <c r="C39" s="52"/>
      <c r="D39" s="52"/>
      <c r="E39" s="58">
        <f t="shared" ref="E39" si="32">(C38+C40)*$B39/2</f>
        <v>9.4937514999999983</v>
      </c>
      <c r="F39" s="58">
        <f t="shared" ref="F39" si="33">(D38+D40)*$B39/2</f>
        <v>0</v>
      </c>
    </row>
    <row r="40" spans="1:6" ht="15.75" x14ac:dyDescent="0.25">
      <c r="A40" s="51">
        <v>11</v>
      </c>
      <c r="B40" s="52"/>
      <c r="C40" s="52">
        <v>0.72750000000000004</v>
      </c>
      <c r="D40" s="52">
        <v>0</v>
      </c>
      <c r="E40" s="52"/>
      <c r="F40" s="52"/>
    </row>
    <row r="41" spans="1:6" ht="15.75" x14ac:dyDescent="0.25">
      <c r="A41" s="51"/>
      <c r="B41" s="52">
        <v>14.86</v>
      </c>
      <c r="C41" s="52"/>
      <c r="D41" s="52"/>
      <c r="E41" s="58">
        <f t="shared" ref="E41" si="34">(C40+C42)*$B41/2</f>
        <v>13.23283</v>
      </c>
      <c r="F41" s="58">
        <f t="shared" ref="F41" si="35">(D40+D42)*$B41/2</f>
        <v>0</v>
      </c>
    </row>
    <row r="42" spans="1:6" ht="15.75" x14ac:dyDescent="0.25">
      <c r="A42" s="51" t="s">
        <v>96</v>
      </c>
      <c r="B42" s="52"/>
      <c r="C42" s="52">
        <v>1.0535000000000001</v>
      </c>
      <c r="D42" s="52">
        <v>0</v>
      </c>
      <c r="E42" s="52"/>
      <c r="F42" s="52"/>
    </row>
    <row r="43" spans="1:6" ht="15.75" x14ac:dyDescent="0.25">
      <c r="A43" s="51"/>
      <c r="B43" s="52">
        <v>11.41</v>
      </c>
      <c r="C43" s="52"/>
      <c r="D43" s="52"/>
      <c r="E43" s="58">
        <f t="shared" ref="E43" si="36">(C42+C44)*$B43/2</f>
        <v>10.927927500000001</v>
      </c>
      <c r="F43" s="58">
        <f t="shared" ref="F43" si="37">(D42+D44)*$B43/2</f>
        <v>0</v>
      </c>
    </row>
    <row r="44" spans="1:6" ht="15.75" x14ac:dyDescent="0.25">
      <c r="A44" s="51" t="s">
        <v>97</v>
      </c>
      <c r="B44" s="52"/>
      <c r="C44" s="52">
        <v>0.8620000000000001</v>
      </c>
      <c r="D44" s="52">
        <v>0</v>
      </c>
      <c r="E44" s="52"/>
      <c r="F44" s="52"/>
    </row>
    <row r="45" spans="1:6" ht="15.75" x14ac:dyDescent="0.25">
      <c r="A45" s="51"/>
      <c r="B45" s="52">
        <v>5.17</v>
      </c>
      <c r="C45" s="52"/>
      <c r="D45" s="52"/>
      <c r="E45" s="58">
        <f t="shared" ref="E45" si="38">(C44+C46)*$B45/2</f>
        <v>4.4927300000000008</v>
      </c>
      <c r="F45" s="58">
        <f t="shared" ref="F45" si="39">(D44+D46)*$B45/2</f>
        <v>0</v>
      </c>
    </row>
    <row r="46" spans="1:6" ht="15.75" x14ac:dyDescent="0.25">
      <c r="A46" s="51" t="s">
        <v>98</v>
      </c>
      <c r="B46" s="52"/>
      <c r="C46" s="52">
        <v>0.87600000000000011</v>
      </c>
      <c r="D46" s="52">
        <v>0</v>
      </c>
      <c r="E46" s="52"/>
      <c r="F46" s="52"/>
    </row>
    <row r="47" spans="1:6" ht="15.75" x14ac:dyDescent="0.25">
      <c r="A47" s="51"/>
      <c r="B47" s="52">
        <v>6.96</v>
      </c>
      <c r="C47" s="52"/>
      <c r="D47" s="52"/>
      <c r="E47" s="52"/>
      <c r="F47" s="52"/>
    </row>
    <row r="48" spans="1:6" ht="15.75" x14ac:dyDescent="0.25">
      <c r="A48" s="51">
        <v>12</v>
      </c>
      <c r="B48" s="52"/>
      <c r="C48" s="52"/>
      <c r="D48" s="52"/>
      <c r="E48" s="52"/>
      <c r="F48" s="52"/>
    </row>
    <row r="49" spans="1:6" ht="18.75" x14ac:dyDescent="0.25">
      <c r="A49" s="55" t="s">
        <v>39</v>
      </c>
      <c r="B49" s="56">
        <f>SUM(B5:B48)</f>
        <v>318.46000000000004</v>
      </c>
      <c r="C49" s="56"/>
      <c r="D49" s="56"/>
      <c r="E49" s="56">
        <f>SUM(E5:E48)</f>
        <v>367.21087999999997</v>
      </c>
      <c r="F49" s="56">
        <f>SUM(F5:F48)</f>
        <v>72.353315000000009</v>
      </c>
    </row>
  </sheetData>
  <mergeCells count="2">
    <mergeCell ref="A1:F1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3" topLeftCell="A4" activePane="bottomLeft" state="frozen"/>
      <selection pane="bottomLeft" activeCell="D31" sqref="D31"/>
    </sheetView>
  </sheetViews>
  <sheetFormatPr defaultRowHeight="15" x14ac:dyDescent="0.25"/>
  <cols>
    <col min="2" max="3" width="14.7109375" customWidth="1"/>
    <col min="4" max="7" width="15.7109375" customWidth="1"/>
  </cols>
  <sheetData>
    <row r="1" spans="1:7" ht="18" customHeight="1" x14ac:dyDescent="0.25">
      <c r="A1" s="85" t="s">
        <v>143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90</v>
      </c>
      <c r="F3" s="66" t="s">
        <v>35</v>
      </c>
      <c r="G3" s="66" t="s">
        <v>35</v>
      </c>
    </row>
    <row r="4" spans="1:7" ht="15.75" x14ac:dyDescent="0.25">
      <c r="A4" s="80">
        <v>1</v>
      </c>
      <c r="B4" s="57"/>
      <c r="C4" s="57">
        <v>3.2</v>
      </c>
      <c r="D4" s="57">
        <f>C4*0.05</f>
        <v>0.16000000000000003</v>
      </c>
      <c r="E4" s="57">
        <v>0.16</v>
      </c>
      <c r="F4" s="57"/>
      <c r="G4" s="57"/>
    </row>
    <row r="5" spans="1:7" ht="15.75" x14ac:dyDescent="0.25">
      <c r="A5" s="51"/>
      <c r="B5" s="52">
        <v>20.74</v>
      </c>
      <c r="C5" s="52"/>
      <c r="D5" s="52"/>
      <c r="E5" s="52"/>
      <c r="F5" s="58">
        <f>(D4+D6)*$B5/2</f>
        <v>3.6813500000000001</v>
      </c>
      <c r="G5" s="58">
        <f>(E4+E6)*$B5/2</f>
        <v>3.9405999999999999</v>
      </c>
    </row>
    <row r="6" spans="1:7" ht="15.75" x14ac:dyDescent="0.25">
      <c r="A6" s="51" t="s">
        <v>91</v>
      </c>
      <c r="B6" s="52"/>
      <c r="C6" s="52">
        <v>3.9</v>
      </c>
      <c r="D6" s="52">
        <f t="shared" ref="D6" si="0">C6*0.05</f>
        <v>0.19500000000000001</v>
      </c>
      <c r="E6" s="52">
        <v>0.22</v>
      </c>
      <c r="F6" s="52"/>
      <c r="G6" s="52"/>
    </row>
    <row r="7" spans="1:7" ht="15.75" x14ac:dyDescent="0.25">
      <c r="A7" s="51"/>
      <c r="B7" s="52">
        <v>21.22</v>
      </c>
      <c r="C7" s="52"/>
      <c r="D7" s="52"/>
      <c r="E7" s="52"/>
      <c r="F7" s="58">
        <f t="shared" ref="F7:G7" si="1">(D6+D8)*$B7/2</f>
        <v>4.0848500000000003</v>
      </c>
      <c r="G7" s="58">
        <f t="shared" si="1"/>
        <v>3.9256999999999995</v>
      </c>
    </row>
    <row r="8" spans="1:7" ht="15.75" x14ac:dyDescent="0.25">
      <c r="A8" s="51" t="s">
        <v>92</v>
      </c>
      <c r="B8" s="52"/>
      <c r="C8" s="52">
        <v>3.8</v>
      </c>
      <c r="D8" s="52">
        <f t="shared" ref="D8" si="2">C8*0.05</f>
        <v>0.19</v>
      </c>
      <c r="E8" s="52">
        <v>0.15</v>
      </c>
      <c r="F8" s="52"/>
      <c r="G8" s="52"/>
    </row>
    <row r="9" spans="1:7" ht="15.75" x14ac:dyDescent="0.25">
      <c r="A9" s="51"/>
      <c r="B9" s="52">
        <v>16.2</v>
      </c>
      <c r="C9" s="52"/>
      <c r="D9" s="52"/>
      <c r="E9" s="52"/>
      <c r="F9" s="58">
        <f t="shared" ref="F9:G9" si="3">(D8+D10)*$B9/2</f>
        <v>2.754</v>
      </c>
      <c r="G9" s="58">
        <f t="shared" si="3"/>
        <v>1.458</v>
      </c>
    </row>
    <row r="10" spans="1:7" ht="15.75" x14ac:dyDescent="0.25">
      <c r="A10" s="53" t="s">
        <v>93</v>
      </c>
      <c r="B10" s="54"/>
      <c r="C10" s="54">
        <v>3</v>
      </c>
      <c r="D10" s="52">
        <f t="shared" ref="D10" si="4">C10*0.05</f>
        <v>0.15000000000000002</v>
      </c>
      <c r="E10" s="54">
        <v>0.03</v>
      </c>
      <c r="F10" s="52"/>
      <c r="G10" s="52"/>
    </row>
    <row r="11" spans="1:7" ht="15.75" x14ac:dyDescent="0.25">
      <c r="A11" s="51"/>
      <c r="B11" s="52">
        <v>11.98</v>
      </c>
      <c r="C11" s="52"/>
      <c r="D11" s="52"/>
      <c r="E11" s="52"/>
      <c r="F11" s="58">
        <f t="shared" ref="F11:G11" si="5">(D10+D12)*$B11/2</f>
        <v>1.7670500000000002</v>
      </c>
      <c r="G11" s="58">
        <f t="shared" si="5"/>
        <v>0.41930000000000006</v>
      </c>
    </row>
    <row r="12" spans="1:7" ht="15.75" x14ac:dyDescent="0.25">
      <c r="A12" s="81">
        <v>2</v>
      </c>
      <c r="B12" s="82"/>
      <c r="C12" s="82">
        <v>2.9</v>
      </c>
      <c r="D12" s="82">
        <f t="shared" ref="D12" si="6">C12*0.05</f>
        <v>0.14499999999999999</v>
      </c>
      <c r="E12" s="82">
        <v>0.04</v>
      </c>
      <c r="F12" s="82"/>
      <c r="G12" s="82"/>
    </row>
    <row r="13" spans="1:7" ht="18.75" x14ac:dyDescent="0.25">
      <c r="A13" s="55" t="s">
        <v>39</v>
      </c>
      <c r="B13" s="56">
        <f>SUM(B5:B12)</f>
        <v>70.14</v>
      </c>
      <c r="C13" s="56">
        <f>AVERAGE(C4:C12)</f>
        <v>3.3599999999999994</v>
      </c>
      <c r="D13" s="56"/>
      <c r="E13" s="56"/>
      <c r="F13" s="56">
        <f>SUM(F5:F12)</f>
        <v>12.28725</v>
      </c>
      <c r="G13" s="56">
        <f>SUM(G5:G12)</f>
        <v>9.7435999999999989</v>
      </c>
    </row>
    <row r="15" spans="1:7" x14ac:dyDescent="0.25">
      <c r="C15" s="73">
        <f>B13/5*C13</f>
        <v>47.13407999999999</v>
      </c>
    </row>
  </sheetData>
  <mergeCells count="2">
    <mergeCell ref="A1:G1"/>
    <mergeCell ref="A2: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3" topLeftCell="A4" activePane="bottomLeft" state="frozen"/>
      <selection pane="bottomLeft" activeCell="F33" sqref="F33"/>
    </sheetView>
  </sheetViews>
  <sheetFormatPr defaultRowHeight="15" x14ac:dyDescent="0.25"/>
  <cols>
    <col min="2" max="3" width="14.7109375" customWidth="1"/>
    <col min="4" max="7" width="15.7109375" customWidth="1"/>
  </cols>
  <sheetData>
    <row r="1" spans="1:7" ht="18" customHeight="1" x14ac:dyDescent="0.25">
      <c r="A1" s="85" t="s">
        <v>146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90</v>
      </c>
      <c r="F3" s="66" t="s">
        <v>35</v>
      </c>
      <c r="G3" s="66" t="s">
        <v>35</v>
      </c>
    </row>
    <row r="4" spans="1:7" ht="15.75" x14ac:dyDescent="0.25">
      <c r="A4" s="50">
        <v>1</v>
      </c>
      <c r="B4" s="57"/>
      <c r="C4" s="57">
        <v>2</v>
      </c>
      <c r="D4" s="57">
        <f>C4*0.05</f>
        <v>0.1</v>
      </c>
      <c r="E4" s="57">
        <v>0.04</v>
      </c>
      <c r="F4" s="57"/>
      <c r="G4" s="57"/>
    </row>
    <row r="5" spans="1:7" ht="15.75" x14ac:dyDescent="0.25">
      <c r="A5" s="51"/>
      <c r="B5" s="52">
        <v>8.3699999999999992</v>
      </c>
      <c r="C5" s="52"/>
      <c r="D5" s="52"/>
      <c r="E5" s="52"/>
      <c r="F5" s="58">
        <f>(D4+D6)*$B5/2</f>
        <v>0.89977499999999988</v>
      </c>
      <c r="G5" s="58">
        <f>(E4+E6)*$B5/2</f>
        <v>0.46035000000000004</v>
      </c>
    </row>
    <row r="6" spans="1:7" ht="15.75" x14ac:dyDescent="0.25">
      <c r="A6" s="51">
        <v>2</v>
      </c>
      <c r="B6" s="52"/>
      <c r="C6" s="52">
        <v>2.2999999999999998</v>
      </c>
      <c r="D6" s="52">
        <f>C6*0.05</f>
        <v>0.11499999999999999</v>
      </c>
      <c r="E6" s="52">
        <v>7.0000000000000007E-2</v>
      </c>
      <c r="F6" s="52"/>
      <c r="G6" s="52"/>
    </row>
    <row r="7" spans="1:7" ht="15.75" x14ac:dyDescent="0.25">
      <c r="A7" s="51"/>
      <c r="B7" s="52">
        <v>8.36</v>
      </c>
      <c r="C7" s="52"/>
      <c r="D7" s="52"/>
      <c r="E7" s="52"/>
      <c r="F7" s="58">
        <f t="shared" ref="F7:G7" si="0">(D6+D8)*$B7/2</f>
        <v>1.1286</v>
      </c>
      <c r="G7" s="58">
        <f t="shared" si="0"/>
        <v>0.91959999999999997</v>
      </c>
    </row>
    <row r="8" spans="1:7" ht="15.75" x14ac:dyDescent="0.25">
      <c r="A8" s="51" t="s">
        <v>91</v>
      </c>
      <c r="B8" s="52"/>
      <c r="C8" s="52">
        <v>3.1</v>
      </c>
      <c r="D8" s="52">
        <f t="shared" ref="D8" si="1">C8*0.05</f>
        <v>0.15500000000000003</v>
      </c>
      <c r="E8" s="52">
        <v>0.15</v>
      </c>
      <c r="F8" s="52"/>
      <c r="G8" s="52"/>
    </row>
    <row r="9" spans="1:7" ht="15.75" x14ac:dyDescent="0.25">
      <c r="A9" s="51"/>
      <c r="B9" s="52">
        <v>12.3</v>
      </c>
      <c r="C9" s="52"/>
      <c r="D9" s="52"/>
      <c r="E9" s="52"/>
      <c r="F9" s="58">
        <f t="shared" ref="F9:G9" si="2">(D8+D10)*$B9/2</f>
        <v>1.3837500000000003</v>
      </c>
      <c r="G9" s="58">
        <f t="shared" si="2"/>
        <v>0.92249999999999999</v>
      </c>
    </row>
    <row r="10" spans="1:7" ht="15.75" x14ac:dyDescent="0.25">
      <c r="A10" s="53">
        <v>3</v>
      </c>
      <c r="B10" s="54"/>
      <c r="C10" s="54">
        <v>1.4</v>
      </c>
      <c r="D10" s="52">
        <f t="shared" ref="D10" si="3">C10*0.05</f>
        <v>6.9999999999999993E-2</v>
      </c>
      <c r="E10" s="54">
        <v>0</v>
      </c>
      <c r="F10" s="52"/>
      <c r="G10" s="52"/>
    </row>
    <row r="11" spans="1:7" ht="15.75" x14ac:dyDescent="0.25">
      <c r="A11" s="51"/>
      <c r="B11" s="52">
        <v>12.31</v>
      </c>
      <c r="C11" s="52"/>
      <c r="D11" s="52"/>
      <c r="E11" s="52"/>
      <c r="F11" s="58">
        <f t="shared" ref="F11:G11" si="4">(D10+D12)*$B11/2</f>
        <v>0.86169999999999991</v>
      </c>
      <c r="G11" s="58">
        <f t="shared" si="4"/>
        <v>0</v>
      </c>
    </row>
    <row r="12" spans="1:7" ht="15.75" x14ac:dyDescent="0.25">
      <c r="A12" s="51">
        <v>4</v>
      </c>
      <c r="B12" s="52"/>
      <c r="C12" s="52">
        <v>1.4</v>
      </c>
      <c r="D12" s="52">
        <f t="shared" ref="D12" si="5">C12*0.05</f>
        <v>6.9999999999999993E-2</v>
      </c>
      <c r="E12" s="52">
        <v>0</v>
      </c>
      <c r="F12" s="52"/>
      <c r="G12" s="52"/>
    </row>
    <row r="13" spans="1:7" ht="18.75" x14ac:dyDescent="0.25">
      <c r="A13" s="55" t="s">
        <v>39</v>
      </c>
      <c r="B13" s="56">
        <f>SUM(B5:B12)</f>
        <v>41.339999999999996</v>
      </c>
      <c r="C13" s="56">
        <f>AVERAGE(C4:C12)</f>
        <v>2.04</v>
      </c>
      <c r="D13" s="56"/>
      <c r="E13" s="56"/>
      <c r="F13" s="56">
        <f>SUM(F5:F12)</f>
        <v>4.2738250000000004</v>
      </c>
      <c r="G13" s="56">
        <f>SUM(G5:G12)</f>
        <v>2.3024499999999999</v>
      </c>
    </row>
    <row r="15" spans="1:7" x14ac:dyDescent="0.25">
      <c r="C15" s="73">
        <f>B13/5*C13</f>
        <v>16.866719999999997</v>
      </c>
    </row>
  </sheetData>
  <mergeCells count="2">
    <mergeCell ref="A1:G1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3" topLeftCell="A4" activePane="bottomLeft" state="frozen"/>
      <selection pane="bottomLeft" sqref="A1:G13"/>
    </sheetView>
  </sheetViews>
  <sheetFormatPr defaultRowHeight="15" x14ac:dyDescent="0.25"/>
  <cols>
    <col min="2" max="3" width="14.7109375" customWidth="1"/>
    <col min="4" max="7" width="15.7109375" customWidth="1"/>
  </cols>
  <sheetData>
    <row r="1" spans="1:7" ht="18" customHeight="1" x14ac:dyDescent="0.25">
      <c r="A1" s="85" t="s">
        <v>148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90</v>
      </c>
      <c r="F3" s="66" t="s">
        <v>35</v>
      </c>
      <c r="G3" s="66" t="s">
        <v>35</v>
      </c>
    </row>
    <row r="4" spans="1:7" ht="15.75" x14ac:dyDescent="0.25">
      <c r="A4" s="50">
        <v>1</v>
      </c>
      <c r="B4" s="57"/>
      <c r="C4" s="57">
        <v>1.9</v>
      </c>
      <c r="D4" s="57">
        <f>C4*0.05</f>
        <v>9.5000000000000001E-2</v>
      </c>
      <c r="E4" s="57">
        <v>0.04</v>
      </c>
      <c r="F4" s="57"/>
      <c r="G4" s="57"/>
    </row>
    <row r="5" spans="1:7" ht="15.75" x14ac:dyDescent="0.25">
      <c r="A5" s="51"/>
      <c r="B5" s="52">
        <v>19.91</v>
      </c>
      <c r="C5" s="52"/>
      <c r="D5" s="52"/>
      <c r="E5" s="52"/>
      <c r="F5" s="58">
        <f>(D4+D6)*$B5/2</f>
        <v>1.841675</v>
      </c>
      <c r="G5" s="58">
        <f>(E4+E6)*$B5/2</f>
        <v>0.69685000000000008</v>
      </c>
    </row>
    <row r="6" spans="1:7" ht="15.75" x14ac:dyDescent="0.25">
      <c r="A6" s="51">
        <v>2</v>
      </c>
      <c r="B6" s="52"/>
      <c r="C6" s="52">
        <v>1.8</v>
      </c>
      <c r="D6" s="52">
        <f>C6*0.05</f>
        <v>9.0000000000000011E-2</v>
      </c>
      <c r="E6" s="52">
        <v>0.03</v>
      </c>
      <c r="F6" s="52"/>
      <c r="G6" s="52"/>
    </row>
    <row r="7" spans="1:7" ht="15.75" x14ac:dyDescent="0.25">
      <c r="A7" s="51"/>
      <c r="B7" s="52">
        <v>19.899999999999999</v>
      </c>
      <c r="C7" s="52"/>
      <c r="D7" s="52"/>
      <c r="E7" s="52"/>
      <c r="F7" s="58">
        <f t="shared" ref="F7:G7" si="0">(D6+D8)*$B7/2</f>
        <v>2.5869999999999997</v>
      </c>
      <c r="G7" s="58">
        <f t="shared" si="0"/>
        <v>2.1890000000000001</v>
      </c>
    </row>
    <row r="8" spans="1:7" ht="15.75" x14ac:dyDescent="0.25">
      <c r="A8" s="51" t="s">
        <v>91</v>
      </c>
      <c r="B8" s="52"/>
      <c r="C8" s="52">
        <v>3.4</v>
      </c>
      <c r="D8" s="52">
        <f t="shared" ref="D8" si="1">C8*0.05</f>
        <v>0.17</v>
      </c>
      <c r="E8" s="52">
        <v>0.19</v>
      </c>
      <c r="F8" s="52"/>
      <c r="G8" s="52"/>
    </row>
    <row r="9" spans="1:7" ht="15.75" x14ac:dyDescent="0.25">
      <c r="A9" s="51"/>
      <c r="B9" s="52">
        <v>8.6300000000000008</v>
      </c>
      <c r="C9" s="52"/>
      <c r="D9" s="52"/>
      <c r="E9" s="52"/>
      <c r="F9" s="58">
        <f t="shared" ref="F9:G9" si="2">(D8+D10)*$B9/2</f>
        <v>1.574975</v>
      </c>
      <c r="G9" s="58">
        <f t="shared" si="2"/>
        <v>1.5534000000000001</v>
      </c>
    </row>
    <row r="10" spans="1:7" ht="15.75" x14ac:dyDescent="0.25">
      <c r="A10" s="53" t="s">
        <v>92</v>
      </c>
      <c r="B10" s="54"/>
      <c r="C10" s="54">
        <v>3.9</v>
      </c>
      <c r="D10" s="52">
        <f t="shared" ref="D10" si="3">C10*0.05</f>
        <v>0.19500000000000001</v>
      </c>
      <c r="E10" s="54">
        <v>0.17</v>
      </c>
      <c r="F10" s="52"/>
      <c r="G10" s="52"/>
    </row>
    <row r="11" spans="1:7" ht="15.75" x14ac:dyDescent="0.25">
      <c r="A11" s="51"/>
      <c r="B11" s="52">
        <v>19.87</v>
      </c>
      <c r="C11" s="52"/>
      <c r="D11" s="52"/>
      <c r="E11" s="52"/>
      <c r="F11" s="58">
        <f t="shared" ref="F11:G11" si="4">(D10+D12)*$B11/2</f>
        <v>2.9805000000000006</v>
      </c>
      <c r="G11" s="58">
        <f t="shared" si="4"/>
        <v>2.4837500000000001</v>
      </c>
    </row>
    <row r="12" spans="1:7" ht="15.75" x14ac:dyDescent="0.25">
      <c r="A12" s="51">
        <v>3</v>
      </c>
      <c r="B12" s="52"/>
      <c r="C12" s="52">
        <v>2.1</v>
      </c>
      <c r="D12" s="52">
        <f t="shared" ref="D12" si="5">C12*0.05</f>
        <v>0.10500000000000001</v>
      </c>
      <c r="E12" s="52">
        <v>0.08</v>
      </c>
      <c r="F12" s="52"/>
      <c r="G12" s="52"/>
    </row>
    <row r="13" spans="1:7" ht="18.75" x14ac:dyDescent="0.25">
      <c r="A13" s="55" t="s">
        <v>39</v>
      </c>
      <c r="B13" s="56">
        <f>SUM(B5:B12)</f>
        <v>68.31</v>
      </c>
      <c r="C13" s="56">
        <f>AVERAGE(C4:C12)</f>
        <v>2.62</v>
      </c>
      <c r="D13" s="56"/>
      <c r="E13" s="56"/>
      <c r="F13" s="56">
        <f>SUM(F5:F12)</f>
        <v>8.9841500000000014</v>
      </c>
      <c r="G13" s="56">
        <f>SUM(G5:G12)</f>
        <v>6.923</v>
      </c>
    </row>
    <row r="15" spans="1:7" x14ac:dyDescent="0.25">
      <c r="C15" s="73">
        <f>B13/5*C13</f>
        <v>35.794440000000002</v>
      </c>
    </row>
  </sheetData>
  <mergeCells count="2">
    <mergeCell ref="A1:G1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3" topLeftCell="A4" activePane="bottomLeft" state="frozen"/>
      <selection pane="bottomLeft" sqref="A1:G23"/>
    </sheetView>
  </sheetViews>
  <sheetFormatPr defaultRowHeight="15" x14ac:dyDescent="0.25"/>
  <cols>
    <col min="2" max="2" width="13.7109375" customWidth="1"/>
    <col min="3" max="3" width="13.42578125" customWidth="1"/>
    <col min="4" max="7" width="15.7109375" customWidth="1"/>
  </cols>
  <sheetData>
    <row r="1" spans="1:11" ht="18" customHeight="1" x14ac:dyDescent="0.25">
      <c r="A1" s="85" t="s">
        <v>149</v>
      </c>
      <c r="B1" s="86"/>
      <c r="C1" s="86"/>
      <c r="D1" s="86"/>
      <c r="E1" s="86"/>
      <c r="F1" s="86"/>
      <c r="G1" s="86"/>
    </row>
    <row r="2" spans="1:11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11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90</v>
      </c>
      <c r="F3" s="66" t="s">
        <v>35</v>
      </c>
      <c r="G3" s="66" t="s">
        <v>35</v>
      </c>
    </row>
    <row r="4" spans="1:11" ht="15.75" x14ac:dyDescent="0.25">
      <c r="A4" s="50">
        <v>1</v>
      </c>
      <c r="B4" s="57"/>
      <c r="C4" s="57">
        <v>1.2</v>
      </c>
      <c r="D4" s="57">
        <v>0.11</v>
      </c>
      <c r="E4" s="57">
        <v>0</v>
      </c>
      <c r="F4" s="57"/>
      <c r="G4" s="57"/>
      <c r="K4" s="78">
        <f>D4-0.01</f>
        <v>0.1</v>
      </c>
    </row>
    <row r="5" spans="1:11" ht="15.75" x14ac:dyDescent="0.25">
      <c r="A5" s="51"/>
      <c r="B5" s="52">
        <v>13.19</v>
      </c>
      <c r="C5" s="52"/>
      <c r="D5" s="52"/>
      <c r="E5" s="52"/>
      <c r="F5" s="58">
        <f>(D4+D6)*$B5/2</f>
        <v>2.1499700000000002</v>
      </c>
      <c r="G5" s="58">
        <f>(E4+E6)*$B5/2</f>
        <v>0</v>
      </c>
    </row>
    <row r="6" spans="1:11" ht="15.75" x14ac:dyDescent="0.25">
      <c r="A6" s="51" t="s">
        <v>91</v>
      </c>
      <c r="B6" s="52"/>
      <c r="C6" s="52">
        <v>3.5</v>
      </c>
      <c r="D6" s="52">
        <v>0.216</v>
      </c>
      <c r="E6" s="52">
        <v>0</v>
      </c>
      <c r="F6" s="52"/>
      <c r="G6" s="52"/>
    </row>
    <row r="7" spans="1:11" ht="15.75" x14ac:dyDescent="0.25">
      <c r="A7" s="51"/>
      <c r="B7" s="52">
        <v>13.98</v>
      </c>
      <c r="C7" s="52"/>
      <c r="D7" s="52"/>
      <c r="E7" s="52"/>
      <c r="F7" s="58">
        <f t="shared" ref="F7" si="0">(D6+D8)*$B7/2</f>
        <v>2.27874</v>
      </c>
      <c r="G7" s="58">
        <f t="shared" ref="G7" si="1">(E6+E8)*$B7/2</f>
        <v>0</v>
      </c>
    </row>
    <row r="8" spans="1:11" ht="15.75" x14ac:dyDescent="0.25">
      <c r="A8" s="51" t="s">
        <v>92</v>
      </c>
      <c r="B8" s="52"/>
      <c r="C8" s="52">
        <v>2.2999999999999998</v>
      </c>
      <c r="D8" s="52">
        <v>0.11</v>
      </c>
      <c r="E8" s="52">
        <v>0</v>
      </c>
      <c r="F8" s="52"/>
      <c r="G8" s="52"/>
    </row>
    <row r="9" spans="1:11" ht="15.75" x14ac:dyDescent="0.25">
      <c r="A9" s="51"/>
      <c r="B9" s="52">
        <v>3.37</v>
      </c>
      <c r="C9" s="52"/>
      <c r="D9" s="52"/>
      <c r="E9" s="52"/>
      <c r="F9" s="58">
        <f t="shared" ref="F9" si="2">(D8+D10)*$B9/2</f>
        <v>0.43810000000000004</v>
      </c>
      <c r="G9" s="58">
        <f t="shared" ref="G9" si="3">(E8+E10)*$B9/2</f>
        <v>0</v>
      </c>
    </row>
    <row r="10" spans="1:11" ht="15.75" x14ac:dyDescent="0.25">
      <c r="A10" s="51" t="s">
        <v>93</v>
      </c>
      <c r="B10" s="52"/>
      <c r="C10" s="52">
        <v>1.6</v>
      </c>
      <c r="D10" s="52">
        <v>0.15</v>
      </c>
      <c r="E10" s="52">
        <v>0</v>
      </c>
      <c r="F10" s="52"/>
      <c r="G10" s="52"/>
    </row>
    <row r="11" spans="1:11" ht="15.75" x14ac:dyDescent="0.25">
      <c r="A11" s="51"/>
      <c r="B11" s="52">
        <v>13.27</v>
      </c>
      <c r="C11" s="52"/>
      <c r="D11" s="52"/>
      <c r="E11" s="52"/>
      <c r="F11" s="58">
        <f t="shared" ref="F11" si="4">(D10+D12)*$B11/2</f>
        <v>1.9904999999999999</v>
      </c>
      <c r="G11" s="58">
        <f t="shared" ref="G11" si="5">(E10+E12)*$B11/2</f>
        <v>0</v>
      </c>
    </row>
    <row r="12" spans="1:11" ht="15.75" x14ac:dyDescent="0.25">
      <c r="A12" s="51" t="s">
        <v>94</v>
      </c>
      <c r="B12" s="52"/>
      <c r="C12" s="52">
        <v>2.2999999999999998</v>
      </c>
      <c r="D12" s="52">
        <v>0.15</v>
      </c>
      <c r="E12" s="52">
        <v>0</v>
      </c>
      <c r="F12" s="52"/>
      <c r="G12" s="52"/>
    </row>
    <row r="13" spans="1:11" ht="15.75" x14ac:dyDescent="0.25">
      <c r="A13" s="51"/>
      <c r="B13" s="52">
        <v>6.1</v>
      </c>
      <c r="C13" s="52"/>
      <c r="D13" s="52"/>
      <c r="E13" s="52"/>
      <c r="F13" s="58">
        <f t="shared" ref="F13" si="6">(D12+D14)*$B13/2</f>
        <v>0.82350000000000001</v>
      </c>
      <c r="G13" s="58">
        <f t="shared" ref="G13" si="7">(E12+E14)*$B13/2</f>
        <v>0</v>
      </c>
    </row>
    <row r="14" spans="1:11" ht="15.75" x14ac:dyDescent="0.25">
      <c r="A14" s="51" t="s">
        <v>150</v>
      </c>
      <c r="B14" s="52"/>
      <c r="C14" s="52">
        <v>2.6</v>
      </c>
      <c r="D14" s="52">
        <v>0.12</v>
      </c>
      <c r="E14" s="52">
        <v>0</v>
      </c>
      <c r="F14" s="52"/>
      <c r="G14" s="52"/>
    </row>
    <row r="15" spans="1:11" ht="15.75" x14ac:dyDescent="0.25">
      <c r="A15" s="51"/>
      <c r="B15" s="52">
        <v>16.649999999999999</v>
      </c>
      <c r="C15" s="52"/>
      <c r="D15" s="52"/>
      <c r="E15" s="52"/>
      <c r="F15" s="58">
        <f t="shared" ref="F15" si="8">(D14+D16)*$B15/2</f>
        <v>2.1644999999999999</v>
      </c>
      <c r="G15" s="58">
        <f t="shared" ref="G15" si="9">(E14+E16)*$B15/2</f>
        <v>0</v>
      </c>
    </row>
    <row r="16" spans="1:11" ht="15.75" x14ac:dyDescent="0.25">
      <c r="A16" s="51" t="s">
        <v>95</v>
      </c>
      <c r="B16" s="52"/>
      <c r="C16" s="52">
        <v>2.2000000000000002</v>
      </c>
      <c r="D16" s="52">
        <v>0.14000000000000001</v>
      </c>
      <c r="E16" s="52">
        <v>0</v>
      </c>
      <c r="F16" s="52"/>
      <c r="G16" s="52"/>
    </row>
    <row r="17" spans="1:7" ht="15.75" x14ac:dyDescent="0.25">
      <c r="A17" s="51"/>
      <c r="B17" s="52">
        <v>2.0099999999999998</v>
      </c>
      <c r="C17" s="52"/>
      <c r="D17" s="52"/>
      <c r="E17" s="52"/>
      <c r="F17" s="58">
        <f t="shared" ref="F17" si="10">(D16+D18)*$B17/2</f>
        <v>0.25124999999999997</v>
      </c>
      <c r="G17" s="58">
        <f t="shared" ref="G17" si="11">(E16+E18)*$B17/2</f>
        <v>0</v>
      </c>
    </row>
    <row r="18" spans="1:7" ht="15.75" x14ac:dyDescent="0.25">
      <c r="A18" s="51" t="s">
        <v>96</v>
      </c>
      <c r="B18" s="52"/>
      <c r="C18" s="52">
        <v>2.2000000000000002</v>
      </c>
      <c r="D18" s="52">
        <v>0.11</v>
      </c>
      <c r="E18" s="52">
        <v>0</v>
      </c>
      <c r="F18" s="52"/>
      <c r="G18" s="52"/>
    </row>
    <row r="19" spans="1:7" ht="15.75" x14ac:dyDescent="0.25">
      <c r="A19" s="51"/>
      <c r="B19" s="52">
        <v>3.2</v>
      </c>
      <c r="C19" s="52"/>
      <c r="D19" s="52"/>
      <c r="E19" s="52"/>
      <c r="F19" s="58">
        <f t="shared" ref="F19" si="12">(D18+D20)*$B19/2</f>
        <v>0.36</v>
      </c>
      <c r="G19" s="58">
        <f t="shared" ref="G19" si="13">(E18+E20)*$B19/2</f>
        <v>0</v>
      </c>
    </row>
    <row r="20" spans="1:7" ht="15.75" x14ac:dyDescent="0.25">
      <c r="A20" s="51" t="s">
        <v>97</v>
      </c>
      <c r="B20" s="52"/>
      <c r="C20" s="52">
        <v>2.2999999999999998</v>
      </c>
      <c r="D20" s="52">
        <v>0.11499999999999999</v>
      </c>
      <c r="E20" s="52">
        <v>0</v>
      </c>
      <c r="F20" s="52"/>
      <c r="G20" s="52"/>
    </row>
    <row r="21" spans="1:7" ht="15.75" x14ac:dyDescent="0.25">
      <c r="A21" s="51"/>
      <c r="B21" s="52">
        <v>10.220000000000001</v>
      </c>
      <c r="C21" s="52"/>
      <c r="D21" s="52"/>
      <c r="E21" s="52"/>
      <c r="F21" s="58">
        <f t="shared" ref="F21" si="14">(D20+D22)*$B21/2</f>
        <v>1.0730999999999999</v>
      </c>
      <c r="G21" s="58">
        <f t="shared" ref="G21" si="15">(E20+E22)*$B21/2</f>
        <v>0</v>
      </c>
    </row>
    <row r="22" spans="1:7" ht="15.75" x14ac:dyDescent="0.25">
      <c r="A22" s="51">
        <v>2</v>
      </c>
      <c r="B22" s="52"/>
      <c r="C22" s="52">
        <v>1.9</v>
      </c>
      <c r="D22" s="52">
        <v>9.5000000000000001E-2</v>
      </c>
      <c r="E22" s="52">
        <v>0</v>
      </c>
      <c r="F22" s="52"/>
      <c r="G22" s="52"/>
    </row>
    <row r="23" spans="1:7" ht="18.75" x14ac:dyDescent="0.25">
      <c r="A23" s="55" t="s">
        <v>39</v>
      </c>
      <c r="B23" s="56">
        <f>SUM(B5:B22)</f>
        <v>81.990000000000009</v>
      </c>
      <c r="C23" s="56">
        <f>AVERAGE(C4:C22)</f>
        <v>2.21</v>
      </c>
      <c r="D23" s="56"/>
      <c r="E23" s="56"/>
      <c r="F23" s="56">
        <f>SUM(F5:F22)</f>
        <v>11.529660000000002</v>
      </c>
      <c r="G23" s="56">
        <f>SUM(G5:G22)</f>
        <v>0</v>
      </c>
    </row>
    <row r="25" spans="1:7" x14ac:dyDescent="0.25">
      <c r="C25" s="73">
        <f>B23/5*C23</f>
        <v>36.239580000000004</v>
      </c>
    </row>
  </sheetData>
  <mergeCells count="2">
    <mergeCell ref="A1:G1"/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3" topLeftCell="A4" activePane="bottomLeft" state="frozen"/>
      <selection pane="bottomLeft" activeCell="E30" sqref="E29:E30"/>
    </sheetView>
  </sheetViews>
  <sheetFormatPr defaultRowHeight="15" x14ac:dyDescent="0.25"/>
  <cols>
    <col min="2" max="2" width="13" customWidth="1"/>
    <col min="3" max="3" width="12.5703125" customWidth="1"/>
    <col min="4" max="7" width="15.7109375" customWidth="1"/>
  </cols>
  <sheetData>
    <row r="1" spans="1:7" ht="18" customHeight="1" x14ac:dyDescent="0.25">
      <c r="A1" s="85" t="s">
        <v>151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90</v>
      </c>
      <c r="F3" s="66" t="s">
        <v>35</v>
      </c>
      <c r="G3" s="66" t="s">
        <v>35</v>
      </c>
    </row>
    <row r="4" spans="1:7" ht="15.75" x14ac:dyDescent="0.25">
      <c r="A4" s="50">
        <v>1</v>
      </c>
      <c r="B4" s="57"/>
      <c r="C4" s="57">
        <v>2</v>
      </c>
      <c r="D4" s="57">
        <v>0.11</v>
      </c>
      <c r="E4" s="57">
        <v>0</v>
      </c>
      <c r="F4" s="57"/>
      <c r="G4" s="57"/>
    </row>
    <row r="5" spans="1:7" ht="15.75" x14ac:dyDescent="0.25">
      <c r="A5" s="51"/>
      <c r="B5" s="52">
        <v>14.32</v>
      </c>
      <c r="C5" s="52"/>
      <c r="D5" s="52"/>
      <c r="E5" s="52"/>
      <c r="F5" s="58">
        <f>(D4+D6)*$B5/2</f>
        <v>1.79</v>
      </c>
      <c r="G5" s="58">
        <f>(E4+E6)*$B5/2</f>
        <v>0</v>
      </c>
    </row>
    <row r="6" spans="1:7" ht="15.75" x14ac:dyDescent="0.25">
      <c r="A6" s="51">
        <v>2</v>
      </c>
      <c r="B6" s="52"/>
      <c r="C6" s="52">
        <v>2.2000000000000002</v>
      </c>
      <c r="D6" s="52">
        <v>0.14000000000000001</v>
      </c>
      <c r="E6" s="52">
        <v>0</v>
      </c>
      <c r="F6" s="52"/>
      <c r="G6" s="52"/>
    </row>
    <row r="7" spans="1:7" ht="15.75" x14ac:dyDescent="0.25">
      <c r="A7" s="51"/>
      <c r="B7" s="52">
        <v>14.32</v>
      </c>
      <c r="C7" s="52"/>
      <c r="D7" s="52"/>
      <c r="E7" s="52"/>
      <c r="F7" s="58">
        <f t="shared" ref="F7:G7" si="0">(D6+D8)*$B7/2</f>
        <v>1.7184000000000001</v>
      </c>
      <c r="G7" s="58">
        <f t="shared" si="0"/>
        <v>0</v>
      </c>
    </row>
    <row r="8" spans="1:7" ht="15.75" x14ac:dyDescent="0.25">
      <c r="A8" s="51">
        <v>3</v>
      </c>
      <c r="B8" s="52"/>
      <c r="C8" s="52">
        <v>1.8</v>
      </c>
      <c r="D8" s="52">
        <v>0.1</v>
      </c>
      <c r="E8" s="52">
        <v>0</v>
      </c>
      <c r="F8" s="52"/>
      <c r="G8" s="52"/>
    </row>
    <row r="9" spans="1:7" ht="18.75" x14ac:dyDescent="0.25">
      <c r="A9" s="55" t="s">
        <v>39</v>
      </c>
      <c r="B9" s="56">
        <f>SUM(B5:B8)</f>
        <v>28.64</v>
      </c>
      <c r="C9" s="56">
        <f>AVERAGE(C4:C8)</f>
        <v>2</v>
      </c>
      <c r="D9" s="56"/>
      <c r="E9" s="56"/>
      <c r="F9" s="56">
        <f>SUM(F5:F8)</f>
        <v>3.5084</v>
      </c>
      <c r="G9" s="56">
        <f>SUM(G5:G8)</f>
        <v>0</v>
      </c>
    </row>
    <row r="11" spans="1:7" x14ac:dyDescent="0.25">
      <c r="C11" s="73">
        <f>B9/5*C9</f>
        <v>11.456</v>
      </c>
    </row>
  </sheetData>
  <mergeCells count="2">
    <mergeCell ref="A1:G1"/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3" topLeftCell="A4" activePane="bottomLeft" state="frozen"/>
      <selection pane="bottomLeft" sqref="A1:G15"/>
    </sheetView>
  </sheetViews>
  <sheetFormatPr defaultRowHeight="15" x14ac:dyDescent="0.25"/>
  <cols>
    <col min="2" max="3" width="13.28515625" customWidth="1"/>
    <col min="4" max="7" width="15.7109375" customWidth="1"/>
  </cols>
  <sheetData>
    <row r="1" spans="1:7" ht="18" customHeight="1" x14ac:dyDescent="0.25">
      <c r="A1" s="85" t="s">
        <v>152</v>
      </c>
      <c r="B1" s="86"/>
      <c r="C1" s="86"/>
      <c r="D1" s="86"/>
      <c r="E1" s="86"/>
      <c r="F1" s="86"/>
      <c r="G1" s="86"/>
    </row>
    <row r="2" spans="1:7" ht="31.5" x14ac:dyDescent="0.25">
      <c r="A2" s="87" t="s">
        <v>27</v>
      </c>
      <c r="B2" s="65" t="s">
        <v>28</v>
      </c>
      <c r="C2" s="65" t="s">
        <v>147</v>
      </c>
      <c r="D2" s="65" t="s">
        <v>29</v>
      </c>
      <c r="E2" s="65" t="s">
        <v>144</v>
      </c>
      <c r="F2" s="65" t="s">
        <v>31</v>
      </c>
      <c r="G2" s="65" t="s">
        <v>145</v>
      </c>
    </row>
    <row r="3" spans="1:7" ht="15.75" x14ac:dyDescent="0.25">
      <c r="A3" s="88"/>
      <c r="B3" s="66" t="s">
        <v>33</v>
      </c>
      <c r="C3" s="66" t="s">
        <v>33</v>
      </c>
      <c r="D3" s="66" t="s">
        <v>34</v>
      </c>
      <c r="E3" s="66" t="s">
        <v>34</v>
      </c>
      <c r="F3" s="66" t="s">
        <v>35</v>
      </c>
      <c r="G3" s="66" t="s">
        <v>35</v>
      </c>
    </row>
    <row r="4" spans="1:7" ht="15.75" x14ac:dyDescent="0.25">
      <c r="A4" s="50">
        <v>1</v>
      </c>
      <c r="B4" s="57"/>
      <c r="C4" s="57">
        <v>2.2000000000000002</v>
      </c>
      <c r="D4" s="57">
        <v>0.11000000000000001</v>
      </c>
      <c r="E4" s="57">
        <v>0.08</v>
      </c>
      <c r="F4" s="57"/>
      <c r="G4" s="57"/>
    </row>
    <row r="5" spans="1:7" ht="15.75" x14ac:dyDescent="0.25">
      <c r="A5" s="51"/>
      <c r="B5" s="52">
        <v>5.07</v>
      </c>
      <c r="C5" s="52"/>
      <c r="D5" s="52"/>
      <c r="E5" s="52"/>
      <c r="F5" s="58">
        <f>(D4+D6)*$B5/2</f>
        <v>0.49432500000000007</v>
      </c>
      <c r="G5" s="58">
        <f>(E4+E6)*$B5/2</f>
        <v>0.35490000000000005</v>
      </c>
    </row>
    <row r="6" spans="1:7" ht="15.75" x14ac:dyDescent="0.25">
      <c r="A6" s="51" t="s">
        <v>91</v>
      </c>
      <c r="B6" s="52"/>
      <c r="C6" s="52">
        <v>1.7</v>
      </c>
      <c r="D6" s="52">
        <v>8.5000000000000006E-2</v>
      </c>
      <c r="E6" s="52">
        <v>0.06</v>
      </c>
      <c r="F6" s="52"/>
      <c r="G6" s="52"/>
    </row>
    <row r="7" spans="1:7" ht="15.75" x14ac:dyDescent="0.25">
      <c r="A7" s="51"/>
      <c r="B7" s="52">
        <v>10.44</v>
      </c>
      <c r="C7" s="52"/>
      <c r="D7" s="52"/>
      <c r="E7" s="52"/>
      <c r="F7" s="58">
        <f t="shared" ref="F7" si="0">(D6+D8)*$B7/2</f>
        <v>0.88739999999999997</v>
      </c>
      <c r="G7" s="58">
        <f t="shared" ref="G7" si="1">(E6+E8)*$B7/2</f>
        <v>0.52200000000000002</v>
      </c>
    </row>
    <row r="8" spans="1:7" ht="15.75" x14ac:dyDescent="0.25">
      <c r="A8" s="51">
        <v>2</v>
      </c>
      <c r="B8" s="52"/>
      <c r="C8" s="52">
        <v>1.7</v>
      </c>
      <c r="D8" s="52">
        <v>8.5000000000000006E-2</v>
      </c>
      <c r="E8" s="52">
        <v>0.04</v>
      </c>
      <c r="F8" s="52"/>
      <c r="G8" s="52"/>
    </row>
    <row r="9" spans="1:7" ht="15.75" x14ac:dyDescent="0.25">
      <c r="A9" s="51"/>
      <c r="B9" s="52">
        <v>10.44</v>
      </c>
      <c r="C9" s="52"/>
      <c r="D9" s="52"/>
      <c r="E9" s="52"/>
      <c r="F9" s="58">
        <f t="shared" ref="F9" si="2">(D8+D10)*$B9/2</f>
        <v>1.0179</v>
      </c>
      <c r="G9" s="58">
        <f t="shared" ref="G9" si="3">(E8+E10)*$B9/2</f>
        <v>0.41759999999999997</v>
      </c>
    </row>
    <row r="10" spans="1:7" ht="15.75" x14ac:dyDescent="0.25">
      <c r="A10" s="51" t="s">
        <v>92</v>
      </c>
      <c r="B10" s="52"/>
      <c r="C10" s="52">
        <v>2.2000000000000002</v>
      </c>
      <c r="D10" s="52">
        <v>0.11000000000000001</v>
      </c>
      <c r="E10" s="52">
        <v>0.04</v>
      </c>
      <c r="F10" s="52"/>
      <c r="G10" s="52"/>
    </row>
    <row r="11" spans="1:7" ht="15.75" x14ac:dyDescent="0.25">
      <c r="A11" s="51"/>
      <c r="B11" s="52">
        <v>14.29</v>
      </c>
      <c r="C11" s="52"/>
      <c r="D11" s="52"/>
      <c r="E11" s="52"/>
      <c r="F11" s="58">
        <f t="shared" ref="F11" si="4">(D10+D12)*$B11/2</f>
        <v>1.1789250000000002</v>
      </c>
      <c r="G11" s="58">
        <f t="shared" ref="G11" si="5">(E10+E12)*$B11/2</f>
        <v>0.2858</v>
      </c>
    </row>
    <row r="12" spans="1:7" ht="15.75" x14ac:dyDescent="0.25">
      <c r="A12" s="51" t="s">
        <v>93</v>
      </c>
      <c r="B12" s="52"/>
      <c r="C12" s="52">
        <v>1.1000000000000001</v>
      </c>
      <c r="D12" s="52">
        <v>5.5000000000000007E-2</v>
      </c>
      <c r="E12" s="52">
        <v>0</v>
      </c>
      <c r="F12" s="52"/>
      <c r="G12" s="52"/>
    </row>
    <row r="13" spans="1:7" ht="15.75" x14ac:dyDescent="0.25">
      <c r="A13" s="51"/>
      <c r="B13" s="52">
        <v>13.72</v>
      </c>
      <c r="C13" s="52"/>
      <c r="D13" s="52"/>
      <c r="E13" s="52"/>
      <c r="F13" s="58">
        <f t="shared" ref="F13" si="6">(D12+D14)*$B13/2</f>
        <v>0.92610000000000015</v>
      </c>
      <c r="G13" s="58">
        <f t="shared" ref="G13" si="7">(E12+E14)*$B13/2</f>
        <v>0</v>
      </c>
    </row>
    <row r="14" spans="1:7" ht="15.75" x14ac:dyDescent="0.25">
      <c r="A14" s="51">
        <v>3</v>
      </c>
      <c r="B14" s="52"/>
      <c r="C14" s="52">
        <v>1.6</v>
      </c>
      <c r="D14" s="52">
        <v>8.0000000000000016E-2</v>
      </c>
      <c r="E14" s="52">
        <v>0</v>
      </c>
      <c r="F14" s="52"/>
      <c r="G14" s="52"/>
    </row>
    <row r="15" spans="1:7" ht="18.75" x14ac:dyDescent="0.25">
      <c r="A15" s="55" t="s">
        <v>39</v>
      </c>
      <c r="B15" s="56">
        <f>SUM(B5:B13)</f>
        <v>53.959999999999994</v>
      </c>
      <c r="C15" s="56">
        <f>AVERAGE(C4:C14)</f>
        <v>1.75</v>
      </c>
      <c r="D15" s="56"/>
      <c r="E15" s="56"/>
      <c r="F15" s="56">
        <f>SUM(F5:F14)</f>
        <v>4.5046500000000007</v>
      </c>
      <c r="G15" s="56">
        <f>SUM(G5:G14)</f>
        <v>1.5803</v>
      </c>
    </row>
    <row r="17" spans="3:3" x14ac:dyDescent="0.25">
      <c r="C17" s="73">
        <f>B15/5*C15</f>
        <v>18.885999999999996</v>
      </c>
    </row>
  </sheetData>
  <mergeCells count="2">
    <mergeCell ref="A1:G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TONG HOP</vt:lpstr>
      <vt:lpstr>BANG KL TUYEN 1</vt:lpstr>
      <vt:lpstr>BANG KL TUYEN 2</vt:lpstr>
      <vt:lpstr>BANG KL TUYEN 3</vt:lpstr>
      <vt:lpstr>BANG KL TUYEN 4</vt:lpstr>
      <vt:lpstr>BANG KL TUYEN 5</vt:lpstr>
      <vt:lpstr>BANG KL TUYEN 6</vt:lpstr>
      <vt:lpstr>BANG KL TUYEN 7</vt:lpstr>
      <vt:lpstr>BANG KL TUYEN 8</vt:lpstr>
      <vt:lpstr>'TONG HOP'!Print_Area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DELL</cp:lastModifiedBy>
  <cp:lastPrinted>2021-05-20T03:48:39Z</cp:lastPrinted>
  <dcterms:created xsi:type="dcterms:W3CDTF">2019-04-20T01:24:34Z</dcterms:created>
  <dcterms:modified xsi:type="dcterms:W3CDTF">2022-04-17T12:53:07Z</dcterms:modified>
</cp:coreProperties>
</file>