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29nat\Documents\HeriotWatt\Degree\Y1\Sem 2\F78AB Actuarial &amp; Financial Mathematics B\Assignment\"/>
    </mc:Choice>
  </mc:AlternateContent>
  <xr:revisionPtr revIDLastSave="0" documentId="13_ncr:1_{7B313866-2DED-4B52-B7F9-E6B4877D3D6A}" xr6:coauthVersionLast="47" xr6:coauthVersionMax="47" xr10:uidLastSave="{00000000-0000-0000-0000-000000000000}"/>
  <bookViews>
    <workbookView xWindow="-110" yWindow="-110" windowWidth="19420" windowHeight="10300" xr2:uid="{3FC9A5B3-CC86-43C7-86F4-24BFB60ED9DB}"/>
  </bookViews>
  <sheets>
    <sheet name="Q1a" sheetId="1" r:id="rId1"/>
    <sheet name="Q1b" sheetId="8" r:id="rId2"/>
    <sheet name="Q2a" sheetId="6" r:id="rId3"/>
    <sheet name="Q2b, Q2c" sheetId="5" r:id="rId4"/>
  </sheets>
  <definedNames>
    <definedName name="base_RPI" localSheetId="1">Q1b!$D$20</definedName>
    <definedName name="base_RPI" localSheetId="2">Q2a!$E$22</definedName>
    <definedName name="base_RPI" localSheetId="3">'Q2b, Q2c'!#REF!</definedName>
    <definedName name="base_RPI">Q1a!$D$20</definedName>
    <definedName name="coupon">'Q2b, Q2c'!$C$12</definedName>
    <definedName name="coupon_rdemption">'Q2b, Q2c'!$C$21</definedName>
    <definedName name="date_issue">'Q2b, Q2c'!$C$14</definedName>
    <definedName name="date_redeem">'Q2b, Q2c'!$C$15</definedName>
    <definedName name="date_today">'Q2b, Q2c'!$C$16</definedName>
    <definedName name="i" localSheetId="1">Q1b!$D$18</definedName>
    <definedName name="i" localSheetId="2">Q2a!$E$20</definedName>
    <definedName name="i" localSheetId="3">'Q2b, Q2c'!#REF!</definedName>
    <definedName name="i">Q1a!$D$18</definedName>
    <definedName name="issue_date" localSheetId="1">Q1b!$D$13</definedName>
    <definedName name="issue_date" localSheetId="2">Q2a!$D$6</definedName>
    <definedName name="issue_date" localSheetId="3">'Q2b, Q2c'!$C$9</definedName>
    <definedName name="issue_date">Q1a!$D$13</definedName>
    <definedName name="lag_time">'Q2b, Q2c'!$C$13</definedName>
    <definedName name="last_RPI" localSheetId="1">Q1b!$D$15</definedName>
    <definedName name="last_RPI" localSheetId="2">Q2a!$E$17</definedName>
    <definedName name="last_RPI" localSheetId="3">'Q2b, Q2c'!#REF!</definedName>
    <definedName name="last_RPI">Q1a!$D$15</definedName>
    <definedName name="money_yield">'Q2b, Q2c'!$C$20</definedName>
    <definedName name="mu" localSheetId="2">Q2a!$D$6</definedName>
    <definedName name="mu" localSheetId="3">'Q2b, Q2c'!$C$9</definedName>
    <definedName name="mu">#REF!</definedName>
    <definedName name="nominal_coupon" localSheetId="1">Q1b!$D$19</definedName>
    <definedName name="nominal_coupon" localSheetId="2">Q2a!$E$21</definedName>
    <definedName name="nominal_coupon" localSheetId="3">'Q2b, Q2c'!#REF!</definedName>
    <definedName name="nominal_coupon">Q1a!$D$19</definedName>
    <definedName name="ori_coupon">'Q2b, Q2c'!$C$11</definedName>
    <definedName name="present_value" localSheetId="2">Q2a!$E$23</definedName>
    <definedName name="present_value" localSheetId="3">'Q2b, Q2c'!#REF!</definedName>
    <definedName name="present_value">#REF!</definedName>
    <definedName name="q" localSheetId="1">Q1b!$D$17</definedName>
    <definedName name="q" localSheetId="2">Q2a!$E$19</definedName>
    <definedName name="q" localSheetId="3">'Q2b, Q2c'!#REF!</definedName>
    <definedName name="q">Q1a!$D$17</definedName>
    <definedName name="q_1">'Q2b, Q2c'!$D$27</definedName>
    <definedName name="q_10">'Q2b, Q2c'!$D$36</definedName>
    <definedName name="q_11">'Q2b, Q2c'!$D$37</definedName>
    <definedName name="q_12">'Q2b, Q2c'!$D$38</definedName>
    <definedName name="q_13">'Q2b, Q2c'!$D$39</definedName>
    <definedName name="q_14">'Q2b, Q2c'!$D$40</definedName>
    <definedName name="q_15">'Q2b, Q2c'!$D$41</definedName>
    <definedName name="q_16">'Q2b, Q2c'!$D$42</definedName>
    <definedName name="q_17">'Q2b, Q2c'!$D$43</definedName>
    <definedName name="q_18">'Q2b, Q2c'!$D$44</definedName>
    <definedName name="q_19">'Q2b, Q2c'!$D$45</definedName>
    <definedName name="q_2">'Q2b, Q2c'!$D$28</definedName>
    <definedName name="q_20">'Q2b, Q2c'!$D$46</definedName>
    <definedName name="q_3">'Q2b, Q2c'!$D$29</definedName>
    <definedName name="q_4">'Q2b, Q2c'!$D$30</definedName>
    <definedName name="q_5">'Q2b, Q2c'!$D$31</definedName>
    <definedName name="q_6">'Q2b, Q2c'!$D$32</definedName>
    <definedName name="q_7">'Q2b, Q2c'!$D$33</definedName>
    <definedName name="q_8">'Q2b, Q2c'!$D$34</definedName>
    <definedName name="q_9">'Q2b, Q2c'!$D$35</definedName>
    <definedName name="rdemption_coupon">Q1a!$D$21</definedName>
    <definedName name="redeem_date" localSheetId="1">Q1b!$D$14</definedName>
    <definedName name="redeem_date" localSheetId="2">Q2a!$D$7</definedName>
    <definedName name="redeem_date" localSheetId="3">'Q2b, Q2c'!$C$10</definedName>
    <definedName name="redeem_date">Q1a!$D$14</definedName>
    <definedName name="RPI_base">'Q2b, Q2c'!$C$17</definedName>
    <definedName name="RPI_last">'Q2b, Q2c'!$C$18</definedName>
    <definedName name="RPI_nov12">'Q2b, Q2c'!$C$19</definedName>
    <definedName name="sigma" localSheetId="2">Q2a!$D$7</definedName>
    <definedName name="sigma" localSheetId="3">'Q2b, Q2c'!$C$10</definedName>
    <definedName name="sigma">#REF!</definedName>
    <definedName name="time_lag" localSheetId="1">Q1b!$D$16</definedName>
    <definedName name="time_lag" localSheetId="2">Q2a!$E$18</definedName>
    <definedName name="time_lag" localSheetId="3">'Q2b, Q2c'!#REF!</definedName>
    <definedName name="time_lag">Q1a!$D$16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8" l="1"/>
  <c r="L50" i="1"/>
  <c r="CV85" i="5" l="1"/>
  <c r="CV84" i="5"/>
  <c r="CV83" i="5"/>
  <c r="CV82" i="5"/>
  <c r="CV81" i="5"/>
  <c r="CV80" i="5"/>
  <c r="CV79" i="5"/>
  <c r="CV78" i="5"/>
  <c r="CV77" i="5"/>
  <c r="CV76" i="5"/>
  <c r="CV75" i="5"/>
  <c r="CV74" i="5"/>
  <c r="CV73" i="5"/>
  <c r="CV72" i="5"/>
  <c r="CV71" i="5"/>
  <c r="CV70" i="5"/>
  <c r="CV69" i="5"/>
  <c r="CV68" i="5"/>
  <c r="CV67" i="5"/>
  <c r="CV66" i="5"/>
  <c r="CV65" i="5"/>
  <c r="CV64" i="5"/>
  <c r="CV63" i="5"/>
  <c r="CV62" i="5"/>
  <c r="CV61" i="5"/>
  <c r="CV60" i="5"/>
  <c r="CV59" i="5"/>
  <c r="CV58" i="5"/>
  <c r="CV57" i="5"/>
  <c r="CV56" i="5"/>
  <c r="CV55" i="5"/>
  <c r="CV54" i="5"/>
  <c r="CV53" i="5"/>
  <c r="CV52" i="5"/>
  <c r="CV51" i="5"/>
  <c r="CT51" i="5"/>
  <c r="CV50" i="5"/>
  <c r="CQ50" i="5"/>
  <c r="CQ51" i="5" s="1"/>
  <c r="CM85" i="5"/>
  <c r="CM84" i="5"/>
  <c r="CM83" i="5"/>
  <c r="CM82" i="5"/>
  <c r="CM81" i="5"/>
  <c r="CM80"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K51" i="5"/>
  <c r="CM50" i="5"/>
  <c r="CH50" i="5"/>
  <c r="CH51" i="5" s="1"/>
  <c r="CD85" i="5"/>
  <c r="CD84" i="5"/>
  <c r="CD83" i="5"/>
  <c r="CD82" i="5"/>
  <c r="CD81" i="5"/>
  <c r="CD80" i="5"/>
  <c r="CD79" i="5"/>
  <c r="CD78" i="5"/>
  <c r="CD77" i="5"/>
  <c r="CD76" i="5"/>
  <c r="CD75" i="5"/>
  <c r="CD74" i="5"/>
  <c r="CD73" i="5"/>
  <c r="CD72" i="5"/>
  <c r="CD71" i="5"/>
  <c r="CD70" i="5"/>
  <c r="CD69" i="5"/>
  <c r="CD68" i="5"/>
  <c r="CD67" i="5"/>
  <c r="CD66" i="5"/>
  <c r="CD65" i="5"/>
  <c r="CD64" i="5"/>
  <c r="CD63" i="5"/>
  <c r="CD62" i="5"/>
  <c r="CD61" i="5"/>
  <c r="CD60" i="5"/>
  <c r="CD59" i="5"/>
  <c r="CD58" i="5"/>
  <c r="CD57" i="5"/>
  <c r="CD56" i="5"/>
  <c r="CD55" i="5"/>
  <c r="CD54" i="5"/>
  <c r="CD53" i="5"/>
  <c r="CD52" i="5"/>
  <c r="CD51" i="5"/>
  <c r="CB51" i="5"/>
  <c r="CD50" i="5"/>
  <c r="BY50" i="5"/>
  <c r="BY51" i="5" s="1"/>
  <c r="BU85" i="5"/>
  <c r="BU84" i="5"/>
  <c r="BU83" i="5"/>
  <c r="BU82" i="5"/>
  <c r="BU81" i="5"/>
  <c r="BU80"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4" i="5"/>
  <c r="BU53" i="5"/>
  <c r="BU52" i="5"/>
  <c r="BU51" i="5"/>
  <c r="BS51" i="5"/>
  <c r="BU50" i="5"/>
  <c r="BP50" i="5"/>
  <c r="BP51" i="5" s="1"/>
  <c r="BL85" i="5"/>
  <c r="BL84" i="5"/>
  <c r="BL83" i="5"/>
  <c r="BL82" i="5"/>
  <c r="BL81" i="5"/>
  <c r="BL80" i="5"/>
  <c r="BL79" i="5"/>
  <c r="BL78" i="5"/>
  <c r="BL77" i="5"/>
  <c r="BL76" i="5"/>
  <c r="BL75" i="5"/>
  <c r="BL74" i="5"/>
  <c r="BL73" i="5"/>
  <c r="BL72" i="5"/>
  <c r="BL71" i="5"/>
  <c r="BL70" i="5"/>
  <c r="BL69" i="5"/>
  <c r="BL68" i="5"/>
  <c r="BL67" i="5"/>
  <c r="BL66" i="5"/>
  <c r="BL65" i="5"/>
  <c r="BL64" i="5"/>
  <c r="BL63" i="5"/>
  <c r="BL62" i="5"/>
  <c r="BL61" i="5"/>
  <c r="BL60" i="5"/>
  <c r="BL59" i="5"/>
  <c r="BL58" i="5"/>
  <c r="BL57" i="5"/>
  <c r="BL56" i="5"/>
  <c r="BL55" i="5"/>
  <c r="BL54" i="5"/>
  <c r="BL53" i="5"/>
  <c r="BL52" i="5"/>
  <c r="BL51" i="5"/>
  <c r="BJ51" i="5"/>
  <c r="BL50" i="5"/>
  <c r="BG50" i="5"/>
  <c r="BG51" i="5" s="1"/>
  <c r="BC85" i="5"/>
  <c r="BC84" i="5"/>
  <c r="BC83" i="5"/>
  <c r="BC82" i="5"/>
  <c r="BC81" i="5"/>
  <c r="BC80" i="5"/>
  <c r="BC79" i="5"/>
  <c r="BC78" i="5"/>
  <c r="BC77" i="5"/>
  <c r="BC76" i="5"/>
  <c r="BC75" i="5"/>
  <c r="BC74" i="5"/>
  <c r="BC73" i="5"/>
  <c r="BC72" i="5"/>
  <c r="BC71" i="5"/>
  <c r="BC70" i="5"/>
  <c r="BC69" i="5"/>
  <c r="BC68" i="5"/>
  <c r="BC67" i="5"/>
  <c r="BC66" i="5"/>
  <c r="BC65" i="5"/>
  <c r="BC64" i="5"/>
  <c r="BC63" i="5"/>
  <c r="BC62" i="5"/>
  <c r="BC61" i="5"/>
  <c r="BC60" i="5"/>
  <c r="BC59" i="5"/>
  <c r="BC58" i="5"/>
  <c r="BC57" i="5"/>
  <c r="BC56" i="5"/>
  <c r="BC55" i="5"/>
  <c r="BC54" i="5"/>
  <c r="BC53" i="5"/>
  <c r="BC52" i="5"/>
  <c r="BC51" i="5"/>
  <c r="BA51" i="5"/>
  <c r="BC50" i="5"/>
  <c r="AX50" i="5"/>
  <c r="AX51" i="5" s="1"/>
  <c r="AT85" i="5"/>
  <c r="AT84" i="5"/>
  <c r="AT83" i="5"/>
  <c r="AT82" i="5"/>
  <c r="AT81" i="5"/>
  <c r="AT80" i="5"/>
  <c r="AT79" i="5"/>
  <c r="AT78" i="5"/>
  <c r="AT77" i="5"/>
  <c r="AT76" i="5"/>
  <c r="AT75" i="5"/>
  <c r="AT74" i="5"/>
  <c r="AT73" i="5"/>
  <c r="AT72" i="5"/>
  <c r="AT71" i="5"/>
  <c r="AT70" i="5"/>
  <c r="AT69" i="5"/>
  <c r="AT68" i="5"/>
  <c r="AT67" i="5"/>
  <c r="AT66" i="5"/>
  <c r="AT65" i="5"/>
  <c r="AT64" i="5"/>
  <c r="AT63" i="5"/>
  <c r="AT62" i="5"/>
  <c r="AT61" i="5"/>
  <c r="AT60" i="5"/>
  <c r="AT59" i="5"/>
  <c r="AT58" i="5"/>
  <c r="AT57" i="5"/>
  <c r="AT56" i="5"/>
  <c r="AT55" i="5"/>
  <c r="AT54" i="5"/>
  <c r="AT53" i="5"/>
  <c r="AT52" i="5"/>
  <c r="AT51" i="5"/>
  <c r="AR51" i="5"/>
  <c r="AT50" i="5"/>
  <c r="AO50" i="5"/>
  <c r="AO51" i="5" s="1"/>
  <c r="AK85" i="5"/>
  <c r="AK84" i="5"/>
  <c r="AK83" i="5"/>
  <c r="AK82" i="5"/>
  <c r="AK81" i="5"/>
  <c r="AK80" i="5"/>
  <c r="AK79" i="5"/>
  <c r="AK78" i="5"/>
  <c r="AK77" i="5"/>
  <c r="AK76" i="5"/>
  <c r="AK75" i="5"/>
  <c r="AK74" i="5"/>
  <c r="AK73" i="5"/>
  <c r="AK72" i="5"/>
  <c r="AK71" i="5"/>
  <c r="AK70" i="5"/>
  <c r="AK69" i="5"/>
  <c r="AK68" i="5"/>
  <c r="AK67" i="5"/>
  <c r="AK66" i="5"/>
  <c r="AK65" i="5"/>
  <c r="AK64" i="5"/>
  <c r="AK63" i="5"/>
  <c r="AK62" i="5"/>
  <c r="AK61" i="5"/>
  <c r="AK60" i="5"/>
  <c r="AK59" i="5"/>
  <c r="AK58" i="5"/>
  <c r="AK57" i="5"/>
  <c r="AK56" i="5"/>
  <c r="AK55" i="5"/>
  <c r="AK54" i="5"/>
  <c r="AK53" i="5"/>
  <c r="AK52" i="5"/>
  <c r="AK51" i="5"/>
  <c r="AI51" i="5"/>
  <c r="AK50" i="5"/>
  <c r="AF50" i="5"/>
  <c r="AF51" i="5" s="1"/>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Z51" i="5"/>
  <c r="AB50" i="5"/>
  <c r="W50" i="5"/>
  <c r="W51" i="5" s="1"/>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Q51" i="5"/>
  <c r="S50" i="5"/>
  <c r="N50" i="5"/>
  <c r="N51" i="5" s="1"/>
  <c r="CV43" i="5"/>
  <c r="CV42" i="5"/>
  <c r="CV41" i="5"/>
  <c r="CV40" i="5"/>
  <c r="CV39" i="5"/>
  <c r="CV38" i="5"/>
  <c r="CV37" i="5"/>
  <c r="CV36" i="5"/>
  <c r="CV35" i="5"/>
  <c r="CV34" i="5"/>
  <c r="CV33" i="5"/>
  <c r="CV32" i="5"/>
  <c r="CV31" i="5"/>
  <c r="CV30" i="5"/>
  <c r="CV29" i="5"/>
  <c r="CV28" i="5"/>
  <c r="CV27" i="5"/>
  <c r="CV26" i="5"/>
  <c r="CV25" i="5"/>
  <c r="CV24" i="5"/>
  <c r="CV23" i="5"/>
  <c r="CV22" i="5"/>
  <c r="CV21" i="5"/>
  <c r="CV20" i="5"/>
  <c r="CV19" i="5"/>
  <c r="CV18" i="5"/>
  <c r="CV17" i="5"/>
  <c r="CV16" i="5"/>
  <c r="CV15" i="5"/>
  <c r="CV14" i="5"/>
  <c r="CV13" i="5"/>
  <c r="CV12" i="5"/>
  <c r="CV11" i="5"/>
  <c r="CV10" i="5"/>
  <c r="CV9" i="5"/>
  <c r="CT9" i="5"/>
  <c r="CV8" i="5"/>
  <c r="CQ8" i="5"/>
  <c r="CQ9" i="5" s="1"/>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3" i="5"/>
  <c r="CM12" i="5"/>
  <c r="CM11" i="5"/>
  <c r="CM10" i="5"/>
  <c r="CM9" i="5"/>
  <c r="CK9" i="5"/>
  <c r="CM8" i="5"/>
  <c r="CH8" i="5"/>
  <c r="CI8" i="5" s="1"/>
  <c r="CD43" i="5"/>
  <c r="CD42" i="5"/>
  <c r="CD41" i="5"/>
  <c r="CD40" i="5"/>
  <c r="CD39" i="5"/>
  <c r="CD38" i="5"/>
  <c r="CD37" i="5"/>
  <c r="CD36" i="5"/>
  <c r="CD35" i="5"/>
  <c r="CD34" i="5"/>
  <c r="CD33" i="5"/>
  <c r="CD32" i="5"/>
  <c r="CD31" i="5"/>
  <c r="CD30" i="5"/>
  <c r="CD29" i="5"/>
  <c r="CD28" i="5"/>
  <c r="CD27" i="5"/>
  <c r="CD26" i="5"/>
  <c r="CD25" i="5"/>
  <c r="CD24" i="5"/>
  <c r="CD23" i="5"/>
  <c r="CD22" i="5"/>
  <c r="CD21" i="5"/>
  <c r="CD20" i="5"/>
  <c r="CD19" i="5"/>
  <c r="CD18" i="5"/>
  <c r="CD17" i="5"/>
  <c r="CD16" i="5"/>
  <c r="CD15" i="5"/>
  <c r="CD14" i="5"/>
  <c r="CD13" i="5"/>
  <c r="CD12" i="5"/>
  <c r="CD11" i="5"/>
  <c r="CD10" i="5"/>
  <c r="CD9" i="5"/>
  <c r="CB9" i="5"/>
  <c r="CD8" i="5"/>
  <c r="BY8" i="5"/>
  <c r="BZ8" i="5" s="1"/>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3" i="5"/>
  <c r="BU12" i="5"/>
  <c r="BU11" i="5"/>
  <c r="BU10" i="5"/>
  <c r="BU9" i="5"/>
  <c r="BS9" i="5"/>
  <c r="BU8" i="5"/>
  <c r="BP8" i="5"/>
  <c r="BP9" i="5" s="1"/>
  <c r="CH9" i="5" l="1"/>
  <c r="CI9" i="5" s="1"/>
  <c r="X50" i="5"/>
  <c r="AG50" i="5"/>
  <c r="CI50" i="5"/>
  <c r="CR50" i="5"/>
  <c r="BQ50" i="5"/>
  <c r="AP50" i="5"/>
  <c r="BH50" i="5"/>
  <c r="CR8" i="5"/>
  <c r="O50" i="5"/>
  <c r="CR51" i="5"/>
  <c r="CQ52" i="5"/>
  <c r="CI51" i="5"/>
  <c r="CH52" i="5"/>
  <c r="BZ51" i="5"/>
  <c r="BY52" i="5"/>
  <c r="BZ50" i="5"/>
  <c r="BQ51" i="5"/>
  <c r="BP52" i="5"/>
  <c r="BG52" i="5"/>
  <c r="BH51" i="5"/>
  <c r="AY51" i="5"/>
  <c r="AX52" i="5"/>
  <c r="AY50" i="5"/>
  <c r="AO52" i="5"/>
  <c r="AP51" i="5"/>
  <c r="AG51" i="5"/>
  <c r="AF52" i="5"/>
  <c r="X51" i="5"/>
  <c r="W52" i="5"/>
  <c r="O51" i="5"/>
  <c r="N52" i="5"/>
  <c r="CR9" i="5"/>
  <c r="CQ10" i="5"/>
  <c r="BY9" i="5"/>
  <c r="BQ9" i="5"/>
  <c r="BP10" i="5"/>
  <c r="BQ8" i="5"/>
  <c r="BL43" i="5"/>
  <c r="BL42" i="5"/>
  <c r="BL41" i="5"/>
  <c r="BL40" i="5"/>
  <c r="BL39" i="5"/>
  <c r="BL38" i="5"/>
  <c r="BL37" i="5"/>
  <c r="BL36" i="5"/>
  <c r="BL35" i="5"/>
  <c r="BL34" i="5"/>
  <c r="BL33" i="5"/>
  <c r="BL32" i="5"/>
  <c r="BL31" i="5"/>
  <c r="BL30" i="5"/>
  <c r="BL29" i="5"/>
  <c r="BL28" i="5"/>
  <c r="BL27" i="5"/>
  <c r="BL26" i="5"/>
  <c r="BL25" i="5"/>
  <c r="BL24" i="5"/>
  <c r="BL23" i="5"/>
  <c r="BL22" i="5"/>
  <c r="BL21" i="5"/>
  <c r="BL20" i="5"/>
  <c r="BL19" i="5"/>
  <c r="BL18" i="5"/>
  <c r="BL17" i="5"/>
  <c r="BL16" i="5"/>
  <c r="BL15" i="5"/>
  <c r="BL14" i="5"/>
  <c r="BL13" i="5"/>
  <c r="BL12" i="5"/>
  <c r="BL11" i="5"/>
  <c r="BL10" i="5"/>
  <c r="BL9" i="5"/>
  <c r="BJ9" i="5"/>
  <c r="BL8" i="5"/>
  <c r="BG8" i="5"/>
  <c r="BG9" i="5" s="1"/>
  <c r="BC43" i="5"/>
  <c r="BC42" i="5"/>
  <c r="BC41" i="5"/>
  <c r="BC40" i="5"/>
  <c r="BC39" i="5"/>
  <c r="BC38" i="5"/>
  <c r="BC37" i="5"/>
  <c r="BC36" i="5"/>
  <c r="BC35" i="5"/>
  <c r="BC34" i="5"/>
  <c r="BC33" i="5"/>
  <c r="BC32" i="5"/>
  <c r="BC31" i="5"/>
  <c r="BC30" i="5"/>
  <c r="BC29" i="5"/>
  <c r="BC28" i="5"/>
  <c r="BC27" i="5"/>
  <c r="BC26" i="5"/>
  <c r="BC25" i="5"/>
  <c r="BC24" i="5"/>
  <c r="BC23" i="5"/>
  <c r="BC22" i="5"/>
  <c r="BC21" i="5"/>
  <c r="BC20" i="5"/>
  <c r="BC19" i="5"/>
  <c r="BC18" i="5"/>
  <c r="BC17" i="5"/>
  <c r="BC16" i="5"/>
  <c r="BC15" i="5"/>
  <c r="BC14" i="5"/>
  <c r="BC13" i="5"/>
  <c r="BC12" i="5"/>
  <c r="BC11" i="5"/>
  <c r="BC10" i="5"/>
  <c r="BC9" i="5"/>
  <c r="BA9" i="5"/>
  <c r="BC8" i="5"/>
  <c r="AX8" i="5"/>
  <c r="AY8" i="5" s="1"/>
  <c r="AT43" i="5"/>
  <c r="AT42" i="5"/>
  <c r="AT41" i="5"/>
  <c r="AT40" i="5"/>
  <c r="AT39" i="5"/>
  <c r="AT38" i="5"/>
  <c r="AT37" i="5"/>
  <c r="AT36" i="5"/>
  <c r="AT35" i="5"/>
  <c r="AT34" i="5"/>
  <c r="AT33" i="5"/>
  <c r="AT32" i="5"/>
  <c r="AT31" i="5"/>
  <c r="AT30" i="5"/>
  <c r="AT29" i="5"/>
  <c r="AT28" i="5"/>
  <c r="AT27" i="5"/>
  <c r="AT26" i="5"/>
  <c r="AT25" i="5"/>
  <c r="AT24" i="5"/>
  <c r="AT23" i="5"/>
  <c r="AT22" i="5"/>
  <c r="AT21" i="5"/>
  <c r="AT20" i="5"/>
  <c r="AT19" i="5"/>
  <c r="AT18" i="5"/>
  <c r="AT17" i="5"/>
  <c r="AT16" i="5"/>
  <c r="AT15" i="5"/>
  <c r="AT14" i="5"/>
  <c r="AT13" i="5"/>
  <c r="AT12" i="5"/>
  <c r="AT11" i="5"/>
  <c r="AT10" i="5"/>
  <c r="AT9" i="5"/>
  <c r="AR9" i="5"/>
  <c r="AT8" i="5"/>
  <c r="AO8" i="5"/>
  <c r="AO9" i="5" s="1"/>
  <c r="AK43" i="5"/>
  <c r="AK42" i="5"/>
  <c r="AK41" i="5"/>
  <c r="AK40" i="5"/>
  <c r="AK39" i="5"/>
  <c r="AK38" i="5"/>
  <c r="AK37" i="5"/>
  <c r="AK36" i="5"/>
  <c r="AK35" i="5"/>
  <c r="AK34" i="5"/>
  <c r="AK33" i="5"/>
  <c r="AK32" i="5"/>
  <c r="AK31" i="5"/>
  <c r="AK30" i="5"/>
  <c r="AK29" i="5"/>
  <c r="AK28" i="5"/>
  <c r="AK27" i="5"/>
  <c r="AK26" i="5"/>
  <c r="AK25" i="5"/>
  <c r="AK24" i="5"/>
  <c r="AK23" i="5"/>
  <c r="AK22" i="5"/>
  <c r="AK21" i="5"/>
  <c r="AK20" i="5"/>
  <c r="AK19" i="5"/>
  <c r="AK18" i="5"/>
  <c r="AK17" i="5"/>
  <c r="AK16" i="5"/>
  <c r="AK15" i="5"/>
  <c r="AK14" i="5"/>
  <c r="AK13" i="5"/>
  <c r="AK12" i="5"/>
  <c r="AK11" i="5"/>
  <c r="AK10" i="5"/>
  <c r="AK9" i="5"/>
  <c r="AI9" i="5"/>
  <c r="AK8" i="5"/>
  <c r="AF8" i="5"/>
  <c r="AG8" i="5" s="1"/>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8" i="5"/>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R18" i="8"/>
  <c r="R17" i="8"/>
  <c r="R16" i="8"/>
  <c r="R15" i="8"/>
  <c r="R14" i="8"/>
  <c r="R13" i="8"/>
  <c r="R12" i="8"/>
  <c r="R11" i="8"/>
  <c r="R10" i="8"/>
  <c r="R9" i="8"/>
  <c r="R8" i="8"/>
  <c r="N8" i="8"/>
  <c r="N9" i="8" s="1"/>
  <c r="R7" i="8"/>
  <c r="P7" i="8"/>
  <c r="D20" i="8" s="1"/>
  <c r="L7" i="8"/>
  <c r="L8" i="8" s="1"/>
  <c r="P8" i="8" l="1"/>
  <c r="Q8" i="8" s="1"/>
  <c r="E24" i="8" s="1"/>
  <c r="CH10" i="5"/>
  <c r="CI10" i="5" s="1"/>
  <c r="M7" i="8"/>
  <c r="BH8" i="5"/>
  <c r="CR52" i="5"/>
  <c r="CQ53" i="5"/>
  <c r="CI52" i="5"/>
  <c r="CH53" i="5"/>
  <c r="BZ52" i="5"/>
  <c r="BY53" i="5"/>
  <c r="BQ52" i="5"/>
  <c r="BP53" i="5"/>
  <c r="BH52" i="5"/>
  <c r="BG53" i="5"/>
  <c r="AY52" i="5"/>
  <c r="AX53" i="5"/>
  <c r="AO53" i="5"/>
  <c r="AP52" i="5"/>
  <c r="AG52" i="5"/>
  <c r="AF53" i="5"/>
  <c r="X52" i="5"/>
  <c r="W53" i="5"/>
  <c r="O52" i="5"/>
  <c r="N53" i="5"/>
  <c r="CR10" i="5"/>
  <c r="CQ11" i="5"/>
  <c r="BZ9" i="5"/>
  <c r="BY10" i="5"/>
  <c r="BQ10" i="5"/>
  <c r="BP11" i="5"/>
  <c r="BH9" i="5"/>
  <c r="BG10" i="5"/>
  <c r="AX9" i="5"/>
  <c r="AO10" i="5"/>
  <c r="AP9" i="5"/>
  <c r="AP8" i="5"/>
  <c r="AF9" i="5"/>
  <c r="N10" i="8"/>
  <c r="P9" i="8"/>
  <c r="Q9" i="8" s="1"/>
  <c r="S9" i="8" s="1"/>
  <c r="L9" i="8"/>
  <c r="M8" i="8"/>
  <c r="S8" i="8" l="1"/>
  <c r="CH11" i="5"/>
  <c r="CH12" i="5" s="1"/>
  <c r="CQ54" i="5"/>
  <c r="CR53" i="5"/>
  <c r="CI53" i="5"/>
  <c r="CH54" i="5"/>
  <c r="BY54" i="5"/>
  <c r="BZ53" i="5"/>
  <c r="BP54" i="5"/>
  <c r="BQ53" i="5"/>
  <c r="BH53" i="5"/>
  <c r="BG54" i="5"/>
  <c r="AY53" i="5"/>
  <c r="AX54" i="5"/>
  <c r="AO54" i="5"/>
  <c r="AP53" i="5"/>
  <c r="AF54" i="5"/>
  <c r="AG53" i="5"/>
  <c r="X53" i="5"/>
  <c r="W54" i="5"/>
  <c r="O53" i="5"/>
  <c r="N54" i="5"/>
  <c r="CR11" i="5"/>
  <c r="CQ12" i="5"/>
  <c r="BZ10" i="5"/>
  <c r="BY11" i="5"/>
  <c r="BQ11" i="5"/>
  <c r="BP12" i="5"/>
  <c r="BH10" i="5"/>
  <c r="BG11" i="5"/>
  <c r="AY9" i="5"/>
  <c r="AX10" i="5"/>
  <c r="AP10" i="5"/>
  <c r="AO11" i="5"/>
  <c r="AG9" i="5"/>
  <c r="AF10" i="5"/>
  <c r="L10" i="8"/>
  <c r="M9" i="8"/>
  <c r="N11" i="8"/>
  <c r="P10" i="8"/>
  <c r="Q10" i="8" s="1"/>
  <c r="S10" i="8" s="1"/>
  <c r="CI11" i="5" l="1"/>
  <c r="CQ55" i="5"/>
  <c r="CR54" i="5"/>
  <c r="CH55" i="5"/>
  <c r="CI54" i="5"/>
  <c r="BY55" i="5"/>
  <c r="BZ54" i="5"/>
  <c r="BP55" i="5"/>
  <c r="BQ54" i="5"/>
  <c r="BG55" i="5"/>
  <c r="BH54" i="5"/>
  <c r="AY54" i="5"/>
  <c r="AX55" i="5"/>
  <c r="AP54" i="5"/>
  <c r="AO55" i="5"/>
  <c r="AF55" i="5"/>
  <c r="AG54" i="5"/>
  <c r="W55" i="5"/>
  <c r="X54" i="5"/>
  <c r="N55" i="5"/>
  <c r="O54" i="5"/>
  <c r="CQ13" i="5"/>
  <c r="CR12" i="5"/>
  <c r="CH13" i="5"/>
  <c r="CI12" i="5"/>
  <c r="BZ11" i="5"/>
  <c r="BY12" i="5"/>
  <c r="BQ12" i="5"/>
  <c r="BP13" i="5"/>
  <c r="BG12" i="5"/>
  <c r="BH11" i="5"/>
  <c r="AY10" i="5"/>
  <c r="AX11" i="5"/>
  <c r="AP11" i="5"/>
  <c r="AO12" i="5"/>
  <c r="AF11" i="5"/>
  <c r="AG10" i="5"/>
  <c r="P11" i="8"/>
  <c r="Q11" i="8" s="1"/>
  <c r="S11" i="8" s="1"/>
  <c r="N12" i="8"/>
  <c r="L11" i="8"/>
  <c r="M10" i="8"/>
  <c r="CR55" i="5" l="1"/>
  <c r="CQ56" i="5"/>
  <c r="CI55" i="5"/>
  <c r="CH56" i="5"/>
  <c r="BZ55" i="5"/>
  <c r="BY56" i="5"/>
  <c r="BQ55" i="5"/>
  <c r="BP56" i="5"/>
  <c r="BH55" i="5"/>
  <c r="BG56" i="5"/>
  <c r="AY55" i="5"/>
  <c r="AX56" i="5"/>
  <c r="AP55" i="5"/>
  <c r="AO56" i="5"/>
  <c r="AG55" i="5"/>
  <c r="AF56" i="5"/>
  <c r="X55" i="5"/>
  <c r="W56" i="5"/>
  <c r="O55" i="5"/>
  <c r="N56" i="5"/>
  <c r="CQ14" i="5"/>
  <c r="CR13" i="5"/>
  <c r="CH14" i="5"/>
  <c r="CI13" i="5"/>
  <c r="BY13" i="5"/>
  <c r="BZ12" i="5"/>
  <c r="BP14" i="5"/>
  <c r="BQ13" i="5"/>
  <c r="BG13" i="5"/>
  <c r="BH12" i="5"/>
  <c r="AX12" i="5"/>
  <c r="AY11" i="5"/>
  <c r="AO13" i="5"/>
  <c r="AP12" i="5"/>
  <c r="AG11" i="5"/>
  <c r="AF12" i="5"/>
  <c r="M11" i="8"/>
  <c r="L12" i="8"/>
  <c r="P12" i="8"/>
  <c r="Q12" i="8" s="1"/>
  <c r="S12" i="8" s="1"/>
  <c r="N13" i="8"/>
  <c r="CR56" i="5" l="1"/>
  <c r="CQ57" i="5"/>
  <c r="CI56" i="5"/>
  <c r="CH57" i="5"/>
  <c r="BZ56" i="5"/>
  <c r="BY57" i="5"/>
  <c r="BQ56" i="5"/>
  <c r="BP57" i="5"/>
  <c r="BH56" i="5"/>
  <c r="BG57" i="5"/>
  <c r="AX57" i="5"/>
  <c r="AY56" i="5"/>
  <c r="AO57" i="5"/>
  <c r="AP56" i="5"/>
  <c r="AG56" i="5"/>
  <c r="AF57" i="5"/>
  <c r="W57" i="5"/>
  <c r="X56" i="5"/>
  <c r="N57" i="5"/>
  <c r="O56" i="5"/>
  <c r="CR14" i="5"/>
  <c r="CQ15" i="5"/>
  <c r="CI14" i="5"/>
  <c r="CH15" i="5"/>
  <c r="BZ13" i="5"/>
  <c r="BY14" i="5"/>
  <c r="BQ14" i="5"/>
  <c r="BP15" i="5"/>
  <c r="BH13" i="5"/>
  <c r="BG14" i="5"/>
  <c r="AX13" i="5"/>
  <c r="AY12" i="5"/>
  <c r="AP13" i="5"/>
  <c r="AO14" i="5"/>
  <c r="AF13" i="5"/>
  <c r="AG12" i="5"/>
  <c r="P13" i="8"/>
  <c r="Q13" i="8" s="1"/>
  <c r="S13" i="8" s="1"/>
  <c r="N14" i="8"/>
  <c r="L13" i="8"/>
  <c r="M12" i="8"/>
  <c r="CQ58" i="5" l="1"/>
  <c r="CR57" i="5"/>
  <c r="CH58" i="5"/>
  <c r="CI57" i="5"/>
  <c r="BZ57" i="5"/>
  <c r="BY58" i="5"/>
  <c r="BQ57" i="5"/>
  <c r="BP58" i="5"/>
  <c r="BG58" i="5"/>
  <c r="BH57" i="5"/>
  <c r="AY57" i="5"/>
  <c r="AX58" i="5"/>
  <c r="AO58" i="5"/>
  <c r="AP57" i="5"/>
  <c r="AG57" i="5"/>
  <c r="AF58" i="5"/>
  <c r="X57" i="5"/>
  <c r="W58" i="5"/>
  <c r="O57" i="5"/>
  <c r="N58" i="5"/>
  <c r="CR15" i="5"/>
  <c r="CQ16" i="5"/>
  <c r="CI15" i="5"/>
  <c r="CH16" i="5"/>
  <c r="BZ14" i="5"/>
  <c r="BY15" i="5"/>
  <c r="BQ15" i="5"/>
  <c r="BP16" i="5"/>
  <c r="BH14" i="5"/>
  <c r="BG15" i="5"/>
  <c r="AY13" i="5"/>
  <c r="AX14" i="5"/>
  <c r="AP14" i="5"/>
  <c r="AO15" i="5"/>
  <c r="AG13" i="5"/>
  <c r="AF14" i="5"/>
  <c r="L14" i="8"/>
  <c r="M13" i="8"/>
  <c r="P14" i="8"/>
  <c r="Q14" i="8" s="1"/>
  <c r="S14" i="8" s="1"/>
  <c r="N15" i="8"/>
  <c r="CQ59" i="5" l="1"/>
  <c r="CR58" i="5"/>
  <c r="CH59" i="5"/>
  <c r="CI58" i="5"/>
  <c r="BY59" i="5"/>
  <c r="BZ58" i="5"/>
  <c r="BP59" i="5"/>
  <c r="BQ58" i="5"/>
  <c r="BG59" i="5"/>
  <c r="BH58" i="5"/>
  <c r="AY58" i="5"/>
  <c r="AX59" i="5"/>
  <c r="AO59" i="5"/>
  <c r="AP58" i="5"/>
  <c r="AF59" i="5"/>
  <c r="AG58" i="5"/>
  <c r="W59" i="5"/>
  <c r="X58" i="5"/>
  <c r="N59" i="5"/>
  <c r="O58" i="5"/>
  <c r="CQ17" i="5"/>
  <c r="CR16" i="5"/>
  <c r="CH17" i="5"/>
  <c r="CI16" i="5"/>
  <c r="BY16" i="5"/>
  <c r="BZ15" i="5"/>
  <c r="BQ16" i="5"/>
  <c r="BP17" i="5"/>
  <c r="BG16" i="5"/>
  <c r="BH15" i="5"/>
  <c r="AY14" i="5"/>
  <c r="AX15" i="5"/>
  <c r="AP15" i="5"/>
  <c r="AO16" i="5"/>
  <c r="AF15" i="5"/>
  <c r="AG14" i="5"/>
  <c r="P15" i="8"/>
  <c r="Q15" i="8" s="1"/>
  <c r="S15" i="8" s="1"/>
  <c r="N16" i="8"/>
  <c r="L15" i="8"/>
  <c r="M14" i="8"/>
  <c r="CR59" i="5" l="1"/>
  <c r="CQ60" i="5"/>
  <c r="CI59" i="5"/>
  <c r="CH60" i="5"/>
  <c r="BZ59" i="5"/>
  <c r="BY60" i="5"/>
  <c r="BQ59" i="5"/>
  <c r="BP60" i="5"/>
  <c r="BH59" i="5"/>
  <c r="BG60" i="5"/>
  <c r="AY59" i="5"/>
  <c r="AX60" i="5"/>
  <c r="AP59" i="5"/>
  <c r="AO60" i="5"/>
  <c r="AG59" i="5"/>
  <c r="AF60" i="5"/>
  <c r="X59" i="5"/>
  <c r="W60" i="5"/>
  <c r="O59" i="5"/>
  <c r="N60" i="5"/>
  <c r="CR17" i="5"/>
  <c r="CQ18" i="5"/>
  <c r="CH18" i="5"/>
  <c r="CI17" i="5"/>
  <c r="BY17" i="5"/>
  <c r="BZ16" i="5"/>
  <c r="BP18" i="5"/>
  <c r="BQ17" i="5"/>
  <c r="BG17" i="5"/>
  <c r="BH16" i="5"/>
  <c r="AY15" i="5"/>
  <c r="AX16" i="5"/>
  <c r="AO17" i="5"/>
  <c r="AP16" i="5"/>
  <c r="AG15" i="5"/>
  <c r="AF16" i="5"/>
  <c r="L16" i="8"/>
  <c r="M15" i="8"/>
  <c r="N17" i="8"/>
  <c r="P16" i="8"/>
  <c r="Q16" i="8" s="1"/>
  <c r="S16" i="8" s="1"/>
  <c r="CR60" i="5" l="1"/>
  <c r="CQ61" i="5"/>
  <c r="CI60" i="5"/>
  <c r="CH61" i="5"/>
  <c r="BZ60" i="5"/>
  <c r="BY61" i="5"/>
  <c r="BQ60" i="5"/>
  <c r="BP61" i="5"/>
  <c r="BH60" i="5"/>
  <c r="BG61" i="5"/>
  <c r="AY60" i="5"/>
  <c r="AX61" i="5"/>
  <c r="AP60" i="5"/>
  <c r="AO61" i="5"/>
  <c r="AG60" i="5"/>
  <c r="AF61" i="5"/>
  <c r="X60" i="5"/>
  <c r="W61" i="5"/>
  <c r="O60" i="5"/>
  <c r="N61" i="5"/>
  <c r="CR18" i="5"/>
  <c r="CQ19" i="5"/>
  <c r="CI18" i="5"/>
  <c r="CH19" i="5"/>
  <c r="BZ17" i="5"/>
  <c r="BY18" i="5"/>
  <c r="BQ18" i="5"/>
  <c r="BP19" i="5"/>
  <c r="BH17" i="5"/>
  <c r="BG18" i="5"/>
  <c r="AX17" i="5"/>
  <c r="AY16" i="5"/>
  <c r="AO18" i="5"/>
  <c r="AP17" i="5"/>
  <c r="AF17" i="5"/>
  <c r="AG16" i="5"/>
  <c r="N18" i="8"/>
  <c r="P17" i="8"/>
  <c r="Q17" i="8" s="1"/>
  <c r="S17" i="8" s="1"/>
  <c r="L17" i="8"/>
  <c r="M16" i="8"/>
  <c r="CQ62" i="5" l="1"/>
  <c r="CR61" i="5"/>
  <c r="CH62" i="5"/>
  <c r="CI61" i="5"/>
  <c r="BZ61" i="5"/>
  <c r="BY62" i="5"/>
  <c r="BP62" i="5"/>
  <c r="BQ61" i="5"/>
  <c r="BG62" i="5"/>
  <c r="BH61" i="5"/>
  <c r="AY61" i="5"/>
  <c r="AX62" i="5"/>
  <c r="AO62" i="5"/>
  <c r="AP61" i="5"/>
  <c r="AG61" i="5"/>
  <c r="AF62" i="5"/>
  <c r="X61" i="5"/>
  <c r="W62" i="5"/>
  <c r="O61" i="5"/>
  <c r="N62" i="5"/>
  <c r="CR19" i="5"/>
  <c r="CQ20" i="5"/>
  <c r="CI19" i="5"/>
  <c r="CH20" i="5"/>
  <c r="BZ18" i="5"/>
  <c r="BY19" i="5"/>
  <c r="BQ19" i="5"/>
  <c r="BP20" i="5"/>
  <c r="BH18" i="5"/>
  <c r="BG19" i="5"/>
  <c r="AY17" i="5"/>
  <c r="AX18" i="5"/>
  <c r="AP18" i="5"/>
  <c r="AO19" i="5"/>
  <c r="AG17" i="5"/>
  <c r="AF18" i="5"/>
  <c r="L18" i="8"/>
  <c r="M17" i="8"/>
  <c r="P18" i="8"/>
  <c r="Q18" i="8" s="1"/>
  <c r="S18" i="8" s="1"/>
  <c r="N19" i="8"/>
  <c r="CQ63" i="5" l="1"/>
  <c r="CR62" i="5"/>
  <c r="CH63" i="5"/>
  <c r="CI62" i="5"/>
  <c r="BY63" i="5"/>
  <c r="BZ62" i="5"/>
  <c r="BP63" i="5"/>
  <c r="BQ62" i="5"/>
  <c r="BG63" i="5"/>
  <c r="BH62" i="5"/>
  <c r="AX63" i="5"/>
  <c r="AY62" i="5"/>
  <c r="AP62" i="5"/>
  <c r="AO63" i="5"/>
  <c r="AF63" i="5"/>
  <c r="AG62" i="5"/>
  <c r="W63" i="5"/>
  <c r="X62" i="5"/>
  <c r="N63" i="5"/>
  <c r="O62" i="5"/>
  <c r="CQ21" i="5"/>
  <c r="CR20" i="5"/>
  <c r="CH21" i="5"/>
  <c r="CI20" i="5"/>
  <c r="BY20" i="5"/>
  <c r="BZ19" i="5"/>
  <c r="BP21" i="5"/>
  <c r="BQ20" i="5"/>
  <c r="BG20" i="5"/>
  <c r="BH19" i="5"/>
  <c r="AY18" i="5"/>
  <c r="AX19" i="5"/>
  <c r="AP19" i="5"/>
  <c r="AO20" i="5"/>
  <c r="AF19" i="5"/>
  <c r="AG18" i="5"/>
  <c r="N20" i="8"/>
  <c r="P19" i="8"/>
  <c r="Q19" i="8" s="1"/>
  <c r="S19" i="8" s="1"/>
  <c r="L19" i="8"/>
  <c r="M18" i="8"/>
  <c r="CR63" i="5" l="1"/>
  <c r="CQ64" i="5"/>
  <c r="CI63" i="5"/>
  <c r="CH64" i="5"/>
  <c r="BZ63" i="5"/>
  <c r="BY64" i="5"/>
  <c r="BQ63" i="5"/>
  <c r="BP64" i="5"/>
  <c r="BH63" i="5"/>
  <c r="BG64" i="5"/>
  <c r="AY63" i="5"/>
  <c r="AX64" i="5"/>
  <c r="AP63" i="5"/>
  <c r="AO64" i="5"/>
  <c r="AG63" i="5"/>
  <c r="AF64" i="5"/>
  <c r="X63" i="5"/>
  <c r="W64" i="5"/>
  <c r="O63" i="5"/>
  <c r="N64" i="5"/>
  <c r="CQ22" i="5"/>
  <c r="CR21" i="5"/>
  <c r="CH22" i="5"/>
  <c r="CI21" i="5"/>
  <c r="BY21" i="5"/>
  <c r="BZ20" i="5"/>
  <c r="BP22" i="5"/>
  <c r="BQ21" i="5"/>
  <c r="BG21" i="5"/>
  <c r="BH20" i="5"/>
  <c r="AY19" i="5"/>
  <c r="AX20" i="5"/>
  <c r="AO21" i="5"/>
  <c r="AP20" i="5"/>
  <c r="AG19" i="5"/>
  <c r="AF20" i="5"/>
  <c r="M19" i="8"/>
  <c r="L20" i="8"/>
  <c r="P20" i="8"/>
  <c r="Q20" i="8" s="1"/>
  <c r="S20" i="8" s="1"/>
  <c r="N21" i="8"/>
  <c r="CR64" i="5" l="1"/>
  <c r="CQ65" i="5"/>
  <c r="CI64" i="5"/>
  <c r="CH65" i="5"/>
  <c r="BY65" i="5"/>
  <c r="BZ64" i="5"/>
  <c r="BQ64" i="5"/>
  <c r="BP65" i="5"/>
  <c r="BH64" i="5"/>
  <c r="BG65" i="5"/>
  <c r="AY64" i="5"/>
  <c r="AX65" i="5"/>
  <c r="AO65" i="5"/>
  <c r="AP64" i="5"/>
  <c r="AG64" i="5"/>
  <c r="AF65" i="5"/>
  <c r="X64" i="5"/>
  <c r="W65" i="5"/>
  <c r="N65" i="5"/>
  <c r="O64" i="5"/>
  <c r="CR22" i="5"/>
  <c r="CQ23" i="5"/>
  <c r="CI22" i="5"/>
  <c r="CH23" i="5"/>
  <c r="BZ21" i="5"/>
  <c r="BY22" i="5"/>
  <c r="BQ22" i="5"/>
  <c r="BP23" i="5"/>
  <c r="BH21" i="5"/>
  <c r="BG22" i="5"/>
  <c r="AX21" i="5"/>
  <c r="AY20" i="5"/>
  <c r="AP21" i="5"/>
  <c r="AO22" i="5"/>
  <c r="AF21" i="5"/>
  <c r="AG20" i="5"/>
  <c r="N22" i="8"/>
  <c r="P21" i="8"/>
  <c r="Q21" i="8" s="1"/>
  <c r="S21" i="8" s="1"/>
  <c r="L21" i="8"/>
  <c r="M20" i="8"/>
  <c r="CR65" i="5" l="1"/>
  <c r="CQ66" i="5"/>
  <c r="CI65" i="5"/>
  <c r="CH66" i="5"/>
  <c r="BZ65" i="5"/>
  <c r="BY66" i="5"/>
  <c r="BQ65" i="5"/>
  <c r="BP66" i="5"/>
  <c r="BH65" i="5"/>
  <c r="BG66" i="5"/>
  <c r="AY65" i="5"/>
  <c r="AX66" i="5"/>
  <c r="AP65" i="5"/>
  <c r="AO66" i="5"/>
  <c r="AG65" i="5"/>
  <c r="AF66" i="5"/>
  <c r="X65" i="5"/>
  <c r="W66" i="5"/>
  <c r="O65" i="5"/>
  <c r="N66" i="5"/>
  <c r="CR23" i="5"/>
  <c r="CQ24" i="5"/>
  <c r="CI23" i="5"/>
  <c r="CH24" i="5"/>
  <c r="BZ22" i="5"/>
  <c r="BY23" i="5"/>
  <c r="BQ23" i="5"/>
  <c r="BP24" i="5"/>
  <c r="BH22" i="5"/>
  <c r="BG23" i="5"/>
  <c r="AY21" i="5"/>
  <c r="AX22" i="5"/>
  <c r="AP22" i="5"/>
  <c r="AO23" i="5"/>
  <c r="AG21" i="5"/>
  <c r="AF22" i="5"/>
  <c r="L22" i="8"/>
  <c r="M21" i="8"/>
  <c r="N23" i="8"/>
  <c r="P22" i="8"/>
  <c r="Q22" i="8" s="1"/>
  <c r="S22" i="8" s="1"/>
  <c r="CQ67" i="5" l="1"/>
  <c r="CR66" i="5"/>
  <c r="CH67" i="5"/>
  <c r="CI66" i="5"/>
  <c r="BY67" i="5"/>
  <c r="BZ66" i="5"/>
  <c r="BP67" i="5"/>
  <c r="BQ66" i="5"/>
  <c r="BG67" i="5"/>
  <c r="BH66" i="5"/>
  <c r="AX67" i="5"/>
  <c r="AY66" i="5"/>
  <c r="AO67" i="5"/>
  <c r="AP66" i="5"/>
  <c r="AF67" i="5"/>
  <c r="AG66" i="5"/>
  <c r="W67" i="5"/>
  <c r="X66" i="5"/>
  <c r="N67" i="5"/>
  <c r="O66" i="5"/>
  <c r="CQ25" i="5"/>
  <c r="CR24" i="5"/>
  <c r="CH25" i="5"/>
  <c r="CI24" i="5"/>
  <c r="BY24" i="5"/>
  <c r="BZ23" i="5"/>
  <c r="BP25" i="5"/>
  <c r="BQ24" i="5"/>
  <c r="BG24" i="5"/>
  <c r="BH23" i="5"/>
  <c r="AY22" i="5"/>
  <c r="AX23" i="5"/>
  <c r="AP23" i="5"/>
  <c r="AO24" i="5"/>
  <c r="AF23" i="5"/>
  <c r="AG22" i="5"/>
  <c r="P23" i="8"/>
  <c r="Q23" i="8" s="1"/>
  <c r="S23" i="8" s="1"/>
  <c r="N24" i="8"/>
  <c r="L23" i="8"/>
  <c r="M22" i="8"/>
  <c r="CR67" i="5" l="1"/>
  <c r="CQ68" i="5"/>
  <c r="CI67" i="5"/>
  <c r="CH68" i="5"/>
  <c r="BZ67" i="5"/>
  <c r="BY68" i="5"/>
  <c r="BQ67" i="5"/>
  <c r="BP68" i="5"/>
  <c r="BH67" i="5"/>
  <c r="BG68" i="5"/>
  <c r="AX68" i="5"/>
  <c r="AY67" i="5"/>
  <c r="AP67" i="5"/>
  <c r="AO68" i="5"/>
  <c r="AG67" i="5"/>
  <c r="AF68" i="5"/>
  <c r="X67" i="5"/>
  <c r="W68" i="5"/>
  <c r="O67" i="5"/>
  <c r="N68" i="5"/>
  <c r="CQ26" i="5"/>
  <c r="CR25" i="5"/>
  <c r="CH26" i="5"/>
  <c r="CI25" i="5"/>
  <c r="BY25" i="5"/>
  <c r="BZ24" i="5"/>
  <c r="BP26" i="5"/>
  <c r="BQ25" i="5"/>
  <c r="BG25" i="5"/>
  <c r="BH24" i="5"/>
  <c r="AY23" i="5"/>
  <c r="AX24" i="5"/>
  <c r="AO25" i="5"/>
  <c r="AP24" i="5"/>
  <c r="AG23" i="5"/>
  <c r="AF24" i="5"/>
  <c r="L24" i="8"/>
  <c r="M23" i="8"/>
  <c r="P24" i="8"/>
  <c r="Q24" i="8" s="1"/>
  <c r="S24" i="8" s="1"/>
  <c r="N25" i="8"/>
  <c r="CR68" i="5" l="1"/>
  <c r="CQ69" i="5"/>
  <c r="CI68" i="5"/>
  <c r="CH69" i="5"/>
  <c r="BZ68" i="5"/>
  <c r="BY69" i="5"/>
  <c r="BQ68" i="5"/>
  <c r="BP69" i="5"/>
  <c r="BH68" i="5"/>
  <c r="BG69" i="5"/>
  <c r="AY68" i="5"/>
  <c r="AX69" i="5"/>
  <c r="AO69" i="5"/>
  <c r="AP68" i="5"/>
  <c r="AG68" i="5"/>
  <c r="AF69" i="5"/>
  <c r="X68" i="5"/>
  <c r="W69" i="5"/>
  <c r="O68" i="5"/>
  <c r="N69" i="5"/>
  <c r="CR26" i="5"/>
  <c r="CQ27" i="5"/>
  <c r="CI26" i="5"/>
  <c r="CH27" i="5"/>
  <c r="BZ25" i="5"/>
  <c r="BY26" i="5"/>
  <c r="BQ26" i="5"/>
  <c r="BP27" i="5"/>
  <c r="BH25" i="5"/>
  <c r="BG26" i="5"/>
  <c r="AX25" i="5"/>
  <c r="AY24" i="5"/>
  <c r="AP25" i="5"/>
  <c r="AO26" i="5"/>
  <c r="AF25" i="5"/>
  <c r="AG24" i="5"/>
  <c r="P25" i="8"/>
  <c r="Q25" i="8" s="1"/>
  <c r="S25" i="8" s="1"/>
  <c r="N26" i="8"/>
  <c r="M24" i="8"/>
  <c r="L25" i="8"/>
  <c r="CR69" i="5" l="1"/>
  <c r="CQ70" i="5"/>
  <c r="CI69" i="5"/>
  <c r="CH70" i="5"/>
  <c r="BZ69" i="5"/>
  <c r="BY70" i="5"/>
  <c r="BQ69" i="5"/>
  <c r="BP70" i="5"/>
  <c r="BH69" i="5"/>
  <c r="BG70" i="5"/>
  <c r="AY69" i="5"/>
  <c r="AX70" i="5"/>
  <c r="AO70" i="5"/>
  <c r="AP69" i="5"/>
  <c r="AG69" i="5"/>
  <c r="AF70" i="5"/>
  <c r="X69" i="5"/>
  <c r="W70" i="5"/>
  <c r="O69" i="5"/>
  <c r="N70" i="5"/>
  <c r="CR27" i="5"/>
  <c r="CQ28" i="5"/>
  <c r="CI27" i="5"/>
  <c r="CH28" i="5"/>
  <c r="BZ26" i="5"/>
  <c r="BY27" i="5"/>
  <c r="BQ27" i="5"/>
  <c r="BP28" i="5"/>
  <c r="BH26" i="5"/>
  <c r="BG27" i="5"/>
  <c r="AY25" i="5"/>
  <c r="AX26" i="5"/>
  <c r="AP26" i="5"/>
  <c r="AO27" i="5"/>
  <c r="AG25" i="5"/>
  <c r="AF26" i="5"/>
  <c r="M25" i="8"/>
  <c r="L26" i="8"/>
  <c r="P26" i="8"/>
  <c r="Q26" i="8" s="1"/>
  <c r="S26" i="8" s="1"/>
  <c r="N27" i="8"/>
  <c r="CQ71" i="5" l="1"/>
  <c r="CR70" i="5"/>
  <c r="CH71" i="5"/>
  <c r="CI70" i="5"/>
  <c r="BY71" i="5"/>
  <c r="BZ70" i="5"/>
  <c r="BP71" i="5"/>
  <c r="BQ70" i="5"/>
  <c r="BG71" i="5"/>
  <c r="BH70" i="5"/>
  <c r="AY70" i="5"/>
  <c r="AX71" i="5"/>
  <c r="AO71" i="5"/>
  <c r="AP70" i="5"/>
  <c r="AF71" i="5"/>
  <c r="AG70" i="5"/>
  <c r="W71" i="5"/>
  <c r="X70" i="5"/>
  <c r="N71" i="5"/>
  <c r="O70" i="5"/>
  <c r="CQ29" i="5"/>
  <c r="CR28" i="5"/>
  <c r="CH29" i="5"/>
  <c r="CI28" i="5"/>
  <c r="BZ27" i="5"/>
  <c r="BY28" i="5"/>
  <c r="BQ28" i="5"/>
  <c r="BP29" i="5"/>
  <c r="BG28" i="5"/>
  <c r="BH27" i="5"/>
  <c r="AY26" i="5"/>
  <c r="AX27" i="5"/>
  <c r="AP27" i="5"/>
  <c r="AO28" i="5"/>
  <c r="AF27" i="5"/>
  <c r="AG26" i="5"/>
  <c r="P27" i="8"/>
  <c r="Q27" i="8" s="1"/>
  <c r="S27" i="8" s="1"/>
  <c r="N28" i="8"/>
  <c r="L27" i="8"/>
  <c r="M26" i="8"/>
  <c r="CR71" i="5" l="1"/>
  <c r="CQ72" i="5"/>
  <c r="CI71" i="5"/>
  <c r="CH72" i="5"/>
  <c r="BZ71" i="5"/>
  <c r="BY72" i="5"/>
  <c r="BQ71" i="5"/>
  <c r="BP72" i="5"/>
  <c r="BH71" i="5"/>
  <c r="BG72" i="5"/>
  <c r="AX72" i="5"/>
  <c r="AY71" i="5"/>
  <c r="AP71" i="5"/>
  <c r="AO72" i="5"/>
  <c r="AG71" i="5"/>
  <c r="AF72" i="5"/>
  <c r="X71" i="5"/>
  <c r="W72" i="5"/>
  <c r="O71" i="5"/>
  <c r="N72" i="5"/>
  <c r="CQ30" i="5"/>
  <c r="CR29" i="5"/>
  <c r="CH30" i="5"/>
  <c r="CI29" i="5"/>
  <c r="BY29" i="5"/>
  <c r="BZ28" i="5"/>
  <c r="BP30" i="5"/>
  <c r="BQ29" i="5"/>
  <c r="BG29" i="5"/>
  <c r="BH28" i="5"/>
  <c r="AY27" i="5"/>
  <c r="AX28" i="5"/>
  <c r="AO29" i="5"/>
  <c r="AP28" i="5"/>
  <c r="AG27" i="5"/>
  <c r="AF28" i="5"/>
  <c r="P28" i="8"/>
  <c r="Q28" i="8" s="1"/>
  <c r="S28" i="8" s="1"/>
  <c r="N29" i="8"/>
  <c r="L28" i="8"/>
  <c r="M27" i="8"/>
  <c r="CR72" i="5" l="1"/>
  <c r="CQ73" i="5"/>
  <c r="CI72" i="5"/>
  <c r="CH73" i="5"/>
  <c r="BZ72" i="5"/>
  <c r="BY73" i="5"/>
  <c r="BQ72" i="5"/>
  <c r="BP73" i="5"/>
  <c r="BH72" i="5"/>
  <c r="BG73" i="5"/>
  <c r="AX73" i="5"/>
  <c r="AY72" i="5"/>
  <c r="AP72" i="5"/>
  <c r="AO73" i="5"/>
  <c r="AG72" i="5"/>
  <c r="AF73" i="5"/>
  <c r="X72" i="5"/>
  <c r="W73" i="5"/>
  <c r="N73" i="5"/>
  <c r="O72" i="5"/>
  <c r="CR30" i="5"/>
  <c r="CQ31" i="5"/>
  <c r="CI30" i="5"/>
  <c r="CH31" i="5"/>
  <c r="BZ29" i="5"/>
  <c r="BY30" i="5"/>
  <c r="BQ30" i="5"/>
  <c r="BP31" i="5"/>
  <c r="BH29" i="5"/>
  <c r="BG30" i="5"/>
  <c r="AX29" i="5"/>
  <c r="AY28" i="5"/>
  <c r="AO30" i="5"/>
  <c r="AP29" i="5"/>
  <c r="AF29" i="5"/>
  <c r="AG28" i="5"/>
  <c r="L29" i="8"/>
  <c r="M28" i="8"/>
  <c r="N30" i="8"/>
  <c r="P29" i="8"/>
  <c r="Q29" i="8" s="1"/>
  <c r="S29" i="8" s="1"/>
  <c r="CR73" i="5" l="1"/>
  <c r="CQ74" i="5"/>
  <c r="CI73" i="5"/>
  <c r="CH74" i="5"/>
  <c r="BZ73" i="5"/>
  <c r="BY74" i="5"/>
  <c r="BQ73" i="5"/>
  <c r="BP74" i="5"/>
  <c r="BH73" i="5"/>
  <c r="BG74" i="5"/>
  <c r="AY73" i="5"/>
  <c r="AX74" i="5"/>
  <c r="AO74" i="5"/>
  <c r="AP73" i="5"/>
  <c r="AG73" i="5"/>
  <c r="AF74" i="5"/>
  <c r="X73" i="5"/>
  <c r="W74" i="5"/>
  <c r="O73" i="5"/>
  <c r="N74" i="5"/>
  <c r="CR31" i="5"/>
  <c r="CQ32" i="5"/>
  <c r="CI31" i="5"/>
  <c r="CH32" i="5"/>
  <c r="BZ30" i="5"/>
  <c r="BY31" i="5"/>
  <c r="BQ31" i="5"/>
  <c r="BP32" i="5"/>
  <c r="BH30" i="5"/>
  <c r="BG31" i="5"/>
  <c r="AY29" i="5"/>
  <c r="AX30" i="5"/>
  <c r="AP30" i="5"/>
  <c r="AO31" i="5"/>
  <c r="AG29" i="5"/>
  <c r="AF30" i="5"/>
  <c r="N31" i="8"/>
  <c r="P30" i="8"/>
  <c r="Q30" i="8" s="1"/>
  <c r="S30" i="8" s="1"/>
  <c r="L30" i="8"/>
  <c r="M29" i="8"/>
  <c r="CQ75" i="5" l="1"/>
  <c r="CR74" i="5"/>
  <c r="CH75" i="5"/>
  <c r="CI74" i="5"/>
  <c r="BY75" i="5"/>
  <c r="BZ74" i="5"/>
  <c r="BP75" i="5"/>
  <c r="BQ74" i="5"/>
  <c r="BG75" i="5"/>
  <c r="BH74" i="5"/>
  <c r="AY74" i="5"/>
  <c r="AX75" i="5"/>
  <c r="AO75" i="5"/>
  <c r="AP74" i="5"/>
  <c r="AF75" i="5"/>
  <c r="AG74" i="5"/>
  <c r="W75" i="5"/>
  <c r="X74" i="5"/>
  <c r="N75" i="5"/>
  <c r="O74" i="5"/>
  <c r="CQ33" i="5"/>
  <c r="CR32" i="5"/>
  <c r="CH33" i="5"/>
  <c r="CI32" i="5"/>
  <c r="BZ31" i="5"/>
  <c r="BY32" i="5"/>
  <c r="BQ32" i="5"/>
  <c r="BP33" i="5"/>
  <c r="BH31" i="5"/>
  <c r="BG32" i="5"/>
  <c r="AY30" i="5"/>
  <c r="AX31" i="5"/>
  <c r="AP31" i="5"/>
  <c r="AO32" i="5"/>
  <c r="AF31" i="5"/>
  <c r="AG30" i="5"/>
  <c r="L31" i="8"/>
  <c r="M30" i="8"/>
  <c r="N32" i="8"/>
  <c r="P31" i="8"/>
  <c r="Q31" i="8" s="1"/>
  <c r="S31" i="8" s="1"/>
  <c r="CR75" i="5" l="1"/>
  <c r="CQ76" i="5"/>
  <c r="CI75" i="5"/>
  <c r="CH76" i="5"/>
  <c r="BZ75" i="5"/>
  <c r="BY76" i="5"/>
  <c r="BQ75" i="5"/>
  <c r="BP76" i="5"/>
  <c r="BH75" i="5"/>
  <c r="BG76" i="5"/>
  <c r="AX76" i="5"/>
  <c r="AY75" i="5"/>
  <c r="AP75" i="5"/>
  <c r="AO76" i="5"/>
  <c r="AG75" i="5"/>
  <c r="AF76" i="5"/>
  <c r="X75" i="5"/>
  <c r="W76" i="5"/>
  <c r="O75" i="5"/>
  <c r="N76" i="5"/>
  <c r="CR33" i="5"/>
  <c r="CQ34" i="5"/>
  <c r="CH34" i="5"/>
  <c r="CI33" i="5"/>
  <c r="BY33" i="5"/>
  <c r="BZ32" i="5"/>
  <c r="BP34" i="5"/>
  <c r="BQ33" i="5"/>
  <c r="BG33" i="5"/>
  <c r="BH32" i="5"/>
  <c r="AY31" i="5"/>
  <c r="AX32" i="5"/>
  <c r="AO33" i="5"/>
  <c r="AP32" i="5"/>
  <c r="AG31" i="5"/>
  <c r="AF32" i="5"/>
  <c r="P32" i="8"/>
  <c r="Q32" i="8" s="1"/>
  <c r="S32" i="8" s="1"/>
  <c r="N33" i="8"/>
  <c r="L32" i="8"/>
  <c r="M31" i="8"/>
  <c r="CR76" i="5" l="1"/>
  <c r="CQ77" i="5"/>
  <c r="CI76" i="5"/>
  <c r="CH77" i="5"/>
  <c r="BY77" i="5"/>
  <c r="BZ76" i="5"/>
  <c r="BQ76" i="5"/>
  <c r="BP77" i="5"/>
  <c r="BH76" i="5"/>
  <c r="BG77" i="5"/>
  <c r="AY76" i="5"/>
  <c r="AX77" i="5"/>
  <c r="AP76" i="5"/>
  <c r="AO77" i="5"/>
  <c r="AG76" i="5"/>
  <c r="AF77" i="5"/>
  <c r="X76" i="5"/>
  <c r="W77" i="5"/>
  <c r="O76" i="5"/>
  <c r="N77" i="5"/>
  <c r="CR34" i="5"/>
  <c r="CQ35" i="5"/>
  <c r="CI34" i="5"/>
  <c r="CH35" i="5"/>
  <c r="BZ33" i="5"/>
  <c r="BY34" i="5"/>
  <c r="BQ34" i="5"/>
  <c r="BP35" i="5"/>
  <c r="BH33" i="5"/>
  <c r="BG34" i="5"/>
  <c r="AX33" i="5"/>
  <c r="AY32" i="5"/>
  <c r="AO34" i="5"/>
  <c r="AP33" i="5"/>
  <c r="AF33" i="5"/>
  <c r="AG32" i="5"/>
  <c r="M32" i="8"/>
  <c r="L33" i="8"/>
  <c r="P33" i="8"/>
  <c r="Q33" i="8" s="1"/>
  <c r="S33" i="8" s="1"/>
  <c r="N34" i="8"/>
  <c r="CR77" i="5" l="1"/>
  <c r="CQ78" i="5"/>
  <c r="CH78" i="5"/>
  <c r="CI77" i="5"/>
  <c r="BZ77" i="5"/>
  <c r="BY78" i="5"/>
  <c r="BP78" i="5"/>
  <c r="BQ77" i="5"/>
  <c r="BH77" i="5"/>
  <c r="BG78" i="5"/>
  <c r="AY77" i="5"/>
  <c r="AX78" i="5"/>
  <c r="AO78" i="5"/>
  <c r="AP77" i="5"/>
  <c r="AG77" i="5"/>
  <c r="AF78" i="5"/>
  <c r="X77" i="5"/>
  <c r="W78" i="5"/>
  <c r="O77" i="5"/>
  <c r="N78" i="5"/>
  <c r="CR35" i="5"/>
  <c r="CQ36" i="5"/>
  <c r="CI35" i="5"/>
  <c r="CH36" i="5"/>
  <c r="BZ34" i="5"/>
  <c r="BY35" i="5"/>
  <c r="BQ35" i="5"/>
  <c r="BP36" i="5"/>
  <c r="BH34" i="5"/>
  <c r="BG35" i="5"/>
  <c r="AY33" i="5"/>
  <c r="AX34" i="5"/>
  <c r="AP34" i="5"/>
  <c r="AO35" i="5"/>
  <c r="AG33" i="5"/>
  <c r="AF34" i="5"/>
  <c r="P34" i="8"/>
  <c r="Q34" i="8" s="1"/>
  <c r="S34" i="8" s="1"/>
  <c r="N35" i="8"/>
  <c r="M33" i="8"/>
  <c r="L34" i="8"/>
  <c r="CQ79" i="5" l="1"/>
  <c r="CR78" i="5"/>
  <c r="CH79" i="5"/>
  <c r="CI78" i="5"/>
  <c r="BY79" i="5"/>
  <c r="BZ78" i="5"/>
  <c r="BP79" i="5"/>
  <c r="BQ78" i="5"/>
  <c r="BG79" i="5"/>
  <c r="BH78" i="5"/>
  <c r="AY78" i="5"/>
  <c r="AX79" i="5"/>
  <c r="AO79" i="5"/>
  <c r="AP78" i="5"/>
  <c r="AF79" i="5"/>
  <c r="AG78" i="5"/>
  <c r="W79" i="5"/>
  <c r="X78" i="5"/>
  <c r="N79" i="5"/>
  <c r="O78" i="5"/>
  <c r="CQ37" i="5"/>
  <c r="CR36" i="5"/>
  <c r="CH37" i="5"/>
  <c r="CI36" i="5"/>
  <c r="BY36" i="5"/>
  <c r="BZ35" i="5"/>
  <c r="BQ36" i="5"/>
  <c r="BP37" i="5"/>
  <c r="BH35" i="5"/>
  <c r="BG36" i="5"/>
  <c r="AY34" i="5"/>
  <c r="AX35" i="5"/>
  <c r="AP35" i="5"/>
  <c r="AO36" i="5"/>
  <c r="AF35" i="5"/>
  <c r="AG34" i="5"/>
  <c r="L35" i="8"/>
  <c r="M34" i="8"/>
  <c r="P35" i="8"/>
  <c r="Q35" i="8" s="1"/>
  <c r="S35" i="8" s="1"/>
  <c r="N36" i="8"/>
  <c r="CR79" i="5" l="1"/>
  <c r="CQ80" i="5"/>
  <c r="CI79" i="5"/>
  <c r="CH80" i="5"/>
  <c r="BZ79" i="5"/>
  <c r="BY80" i="5"/>
  <c r="BQ79" i="5"/>
  <c r="BP80" i="5"/>
  <c r="BH79" i="5"/>
  <c r="BG80" i="5"/>
  <c r="AX80" i="5"/>
  <c r="AY79" i="5"/>
  <c r="AP79" i="5"/>
  <c r="AO80" i="5"/>
  <c r="AG79" i="5"/>
  <c r="AF80" i="5"/>
  <c r="X79" i="5"/>
  <c r="W80" i="5"/>
  <c r="O79" i="5"/>
  <c r="N80" i="5"/>
  <c r="CR37" i="5"/>
  <c r="CQ38" i="5"/>
  <c r="CH38" i="5"/>
  <c r="CI37" i="5"/>
  <c r="BY37" i="5"/>
  <c r="BZ36" i="5"/>
  <c r="BP38" i="5"/>
  <c r="BQ37" i="5"/>
  <c r="BG37" i="5"/>
  <c r="BH36" i="5"/>
  <c r="AY35" i="5"/>
  <c r="AX36" i="5"/>
  <c r="AO37" i="5"/>
  <c r="AP36" i="5"/>
  <c r="AG35" i="5"/>
  <c r="AF36" i="5"/>
  <c r="P36" i="8"/>
  <c r="Q36" i="8" s="1"/>
  <c r="S36" i="8" s="1"/>
  <c r="N37" i="8"/>
  <c r="L36" i="8"/>
  <c r="M35" i="8"/>
  <c r="CR80" i="5" l="1"/>
  <c r="CQ81" i="5"/>
  <c r="CI80" i="5"/>
  <c r="CH81" i="5"/>
  <c r="BY81" i="5"/>
  <c r="BZ80" i="5"/>
  <c r="BQ80" i="5"/>
  <c r="BP81" i="5"/>
  <c r="BG81" i="5"/>
  <c r="BH80" i="5"/>
  <c r="AX81" i="5"/>
  <c r="AY80" i="5"/>
  <c r="AP80" i="5"/>
  <c r="AO81" i="5"/>
  <c r="AG80" i="5"/>
  <c r="AF81" i="5"/>
  <c r="X80" i="5"/>
  <c r="W81" i="5"/>
  <c r="O80" i="5"/>
  <c r="N81" i="5"/>
  <c r="CR38" i="5"/>
  <c r="CQ39" i="5"/>
  <c r="CI38" i="5"/>
  <c r="CH39" i="5"/>
  <c r="BZ37" i="5"/>
  <c r="BY38" i="5"/>
  <c r="BQ38" i="5"/>
  <c r="BP39" i="5"/>
  <c r="BH37" i="5"/>
  <c r="BG38" i="5"/>
  <c r="AX37" i="5"/>
  <c r="AY36" i="5"/>
  <c r="AO38" i="5"/>
  <c r="AP37" i="5"/>
  <c r="AF37" i="5"/>
  <c r="AG36" i="5"/>
  <c r="L37" i="8"/>
  <c r="M36" i="8"/>
  <c r="N38" i="8"/>
  <c r="P37" i="8"/>
  <c r="Q37" i="8" s="1"/>
  <c r="S37" i="8" s="1"/>
  <c r="CQ82" i="5" l="1"/>
  <c r="CR81" i="5"/>
  <c r="CI81" i="5"/>
  <c r="CH82" i="5"/>
  <c r="BZ81" i="5"/>
  <c r="BY82" i="5"/>
  <c r="BP82" i="5"/>
  <c r="BQ81" i="5"/>
  <c r="BH81" i="5"/>
  <c r="BG82" i="5"/>
  <c r="AY81" i="5"/>
  <c r="AX82" i="5"/>
  <c r="AO82" i="5"/>
  <c r="AP81" i="5"/>
  <c r="AG81" i="5"/>
  <c r="AF82" i="5"/>
  <c r="X81" i="5"/>
  <c r="W82" i="5"/>
  <c r="O81" i="5"/>
  <c r="N82" i="5"/>
  <c r="CR39" i="5"/>
  <c r="CQ40" i="5"/>
  <c r="CI39" i="5"/>
  <c r="CH40" i="5"/>
  <c r="BZ38" i="5"/>
  <c r="BY39" i="5"/>
  <c r="BQ39" i="5"/>
  <c r="BP40" i="5"/>
  <c r="BH38" i="5"/>
  <c r="BG39" i="5"/>
  <c r="AY37" i="5"/>
  <c r="AX38" i="5"/>
  <c r="AP38" i="5"/>
  <c r="AO39" i="5"/>
  <c r="AF38" i="5"/>
  <c r="AG37" i="5"/>
  <c r="N39" i="8"/>
  <c r="P38" i="8"/>
  <c r="Q38" i="8" s="1"/>
  <c r="S38" i="8" s="1"/>
  <c r="L38" i="8"/>
  <c r="M37" i="8"/>
  <c r="CQ83" i="5" l="1"/>
  <c r="CR82" i="5"/>
  <c r="CH83" i="5"/>
  <c r="CI82" i="5"/>
  <c r="BY83" i="5"/>
  <c r="BZ82" i="5"/>
  <c r="BP83" i="5"/>
  <c r="BQ82" i="5"/>
  <c r="BG83" i="5"/>
  <c r="BH82" i="5"/>
  <c r="AX83" i="5"/>
  <c r="AY82" i="5"/>
  <c r="AO83" i="5"/>
  <c r="AP82" i="5"/>
  <c r="AF83" i="5"/>
  <c r="AG82" i="5"/>
  <c r="W83" i="5"/>
  <c r="X82" i="5"/>
  <c r="N83" i="5"/>
  <c r="O82" i="5"/>
  <c r="CQ41" i="5"/>
  <c r="CR40" i="5"/>
  <c r="CH41" i="5"/>
  <c r="CI40" i="5"/>
  <c r="BZ39" i="5"/>
  <c r="BY40" i="5"/>
  <c r="BQ40" i="5"/>
  <c r="BP41" i="5"/>
  <c r="BH39" i="5"/>
  <c r="BG40" i="5"/>
  <c r="AY38" i="5"/>
  <c r="AX39" i="5"/>
  <c r="AP39" i="5"/>
  <c r="AO40" i="5"/>
  <c r="AG38" i="5"/>
  <c r="AF39" i="5"/>
  <c r="L39" i="8"/>
  <c r="M38" i="8"/>
  <c r="N40" i="8"/>
  <c r="P39" i="8"/>
  <c r="Q39" i="8" s="1"/>
  <c r="S39" i="8" s="1"/>
  <c r="CR83" i="5" l="1"/>
  <c r="CQ84" i="5"/>
  <c r="CI83" i="5"/>
  <c r="CH84" i="5"/>
  <c r="BZ83" i="5"/>
  <c r="BY84" i="5"/>
  <c r="BQ83" i="5"/>
  <c r="BP84" i="5"/>
  <c r="BH83" i="5"/>
  <c r="BG84" i="5"/>
  <c r="AX84" i="5"/>
  <c r="AY83" i="5"/>
  <c r="AP83" i="5"/>
  <c r="AO84" i="5"/>
  <c r="AG83" i="5"/>
  <c r="AF84" i="5"/>
  <c r="X83" i="5"/>
  <c r="W84" i="5"/>
  <c r="O83" i="5"/>
  <c r="N84" i="5"/>
  <c r="CQ42" i="5"/>
  <c r="CR41" i="5"/>
  <c r="CH42" i="5"/>
  <c r="CI41" i="5"/>
  <c r="BY41" i="5"/>
  <c r="BZ40" i="5"/>
  <c r="BP42" i="5"/>
  <c r="BQ41" i="5"/>
  <c r="BG41" i="5"/>
  <c r="BH40" i="5"/>
  <c r="AY39" i="5"/>
  <c r="AX40" i="5"/>
  <c r="AO41" i="5"/>
  <c r="AP40" i="5"/>
  <c r="AF40" i="5"/>
  <c r="AG39" i="5"/>
  <c r="P40" i="8"/>
  <c r="Q40" i="8" s="1"/>
  <c r="S40" i="8" s="1"/>
  <c r="N41" i="8"/>
  <c r="L40" i="8"/>
  <c r="M39" i="8"/>
  <c r="CR84" i="5" l="1"/>
  <c r="CQ85" i="5"/>
  <c r="CR85" i="5" s="1"/>
  <c r="CI84" i="5"/>
  <c r="CH85" i="5"/>
  <c r="CI85" i="5" s="1"/>
  <c r="BZ84" i="5"/>
  <c r="BY85" i="5"/>
  <c r="BZ85" i="5" s="1"/>
  <c r="BQ84" i="5"/>
  <c r="BP85" i="5"/>
  <c r="BQ85" i="5" s="1"/>
  <c r="BH84" i="5"/>
  <c r="BG85" i="5"/>
  <c r="BH85" i="5" s="1"/>
  <c r="AY84" i="5"/>
  <c r="AX85" i="5"/>
  <c r="AY85" i="5" s="1"/>
  <c r="AP84" i="5"/>
  <c r="AO85" i="5"/>
  <c r="AP85" i="5" s="1"/>
  <c r="AG84" i="5"/>
  <c r="AF85" i="5"/>
  <c r="AG85" i="5" s="1"/>
  <c r="X84" i="5"/>
  <c r="W85" i="5"/>
  <c r="X85" i="5" s="1"/>
  <c r="O84" i="5"/>
  <c r="N85" i="5"/>
  <c r="O85" i="5" s="1"/>
  <c r="CR42" i="5"/>
  <c r="CQ43" i="5"/>
  <c r="CR43" i="5" s="1"/>
  <c r="CI42" i="5"/>
  <c r="CH43" i="5"/>
  <c r="CI43" i="5" s="1"/>
  <c r="BZ41" i="5"/>
  <c r="BY42" i="5"/>
  <c r="BQ42" i="5"/>
  <c r="BP43" i="5"/>
  <c r="BQ43" i="5" s="1"/>
  <c r="BH41" i="5"/>
  <c r="BG42" i="5"/>
  <c r="AX41" i="5"/>
  <c r="AY40" i="5"/>
  <c r="AO42" i="5"/>
  <c r="AP41" i="5"/>
  <c r="AF41" i="5"/>
  <c r="AG40" i="5"/>
  <c r="M40" i="8"/>
  <c r="L41" i="8"/>
  <c r="P41" i="8"/>
  <c r="Q41" i="8" s="1"/>
  <c r="S41" i="8" s="1"/>
  <c r="N42" i="8"/>
  <c r="BZ42" i="5" l="1"/>
  <c r="BY43" i="5"/>
  <c r="BZ43" i="5" s="1"/>
  <c r="BH42" i="5"/>
  <c r="BG43" i="5"/>
  <c r="BH43" i="5" s="1"/>
  <c r="AY41" i="5"/>
  <c r="AX42" i="5"/>
  <c r="AP42" i="5"/>
  <c r="AO43" i="5"/>
  <c r="AP43" i="5" s="1"/>
  <c r="AF42" i="5"/>
  <c r="AG41" i="5"/>
  <c r="P42" i="8"/>
  <c r="Q42" i="8" s="1"/>
  <c r="S42" i="8" s="1"/>
  <c r="N43" i="8"/>
  <c r="L42" i="8"/>
  <c r="M41" i="8"/>
  <c r="AY42" i="5" l="1"/>
  <c r="AX43" i="5"/>
  <c r="AY43" i="5" s="1"/>
  <c r="AG42" i="5"/>
  <c r="AF43" i="5"/>
  <c r="AG43" i="5" s="1"/>
  <c r="L43" i="8"/>
  <c r="M42" i="8"/>
  <c r="P43" i="8"/>
  <c r="Q43" i="8" s="1"/>
  <c r="S43" i="8" s="1"/>
  <c r="N44" i="8"/>
  <c r="P44" i="8" l="1"/>
  <c r="Q44" i="8" s="1"/>
  <c r="S44" i="8" s="1"/>
  <c r="N45" i="8"/>
  <c r="L44" i="8"/>
  <c r="M43" i="8"/>
  <c r="L45" i="8" l="1"/>
  <c r="M44" i="8"/>
  <c r="P45" i="8"/>
  <c r="Q45" i="8" s="1"/>
  <c r="S45" i="8" s="1"/>
  <c r="N46" i="8"/>
  <c r="N47" i="8" l="1"/>
  <c r="P46" i="8"/>
  <c r="Q46" i="8" s="1"/>
  <c r="S46" i="8" s="1"/>
  <c r="L46" i="8"/>
  <c r="M45" i="8"/>
  <c r="L47" i="8" l="1"/>
  <c r="M46" i="8"/>
  <c r="N48" i="8"/>
  <c r="P47" i="8"/>
  <c r="Q47" i="8" s="1"/>
  <c r="S47" i="8" s="1"/>
  <c r="P48" i="8" l="1"/>
  <c r="Q48" i="8" s="1"/>
  <c r="S48" i="8" s="1"/>
  <c r="N49" i="8"/>
  <c r="P49" i="8" s="1"/>
  <c r="L48" i="8"/>
  <c r="M47" i="8"/>
  <c r="Q49" i="8" l="1"/>
  <c r="S49" i="8" s="1"/>
  <c r="Q7" i="8" s="1"/>
  <c r="S7" i="8" s="1"/>
  <c r="L49" i="8"/>
  <c r="M49" i="8" s="1"/>
  <c r="M48" i="8"/>
  <c r="Z9" i="5" l="1"/>
  <c r="W8" i="5"/>
  <c r="X8" i="5" s="1"/>
  <c r="Q9" i="5"/>
  <c r="W9" i="5" l="1"/>
  <c r="X9" i="5" l="1"/>
  <c r="W10" i="5"/>
  <c r="X10" i="5" l="1"/>
  <c r="W11" i="5"/>
  <c r="N8" i="5"/>
  <c r="O8" i="5" s="1"/>
  <c r="P7" i="1"/>
  <c r="D20" i="1" s="1"/>
  <c r="X11" i="5" l="1"/>
  <c r="W12" i="5"/>
  <c r="N9" i="5"/>
  <c r="O9" i="5" s="1"/>
  <c r="X12" i="5" l="1"/>
  <c r="W13" i="5"/>
  <c r="N10" i="5"/>
  <c r="O10" i="5" s="1"/>
  <c r="X13" i="5" l="1"/>
  <c r="W14" i="5"/>
  <c r="N11" i="5"/>
  <c r="O11" i="5" s="1"/>
  <c r="C12" i="5"/>
  <c r="D33" i="6"/>
  <c r="E33" i="6" s="1"/>
  <c r="F33" i="6" s="1"/>
  <c r="G33" i="6" s="1"/>
  <c r="D46" i="5" s="1"/>
  <c r="D32" i="6"/>
  <c r="E32" i="6" s="1"/>
  <c r="F32" i="6" s="1"/>
  <c r="G32" i="6" s="1"/>
  <c r="D45" i="5" s="1"/>
  <c r="D31" i="6"/>
  <c r="E31" i="6" s="1"/>
  <c r="F31" i="6" s="1"/>
  <c r="G31" i="6" s="1"/>
  <c r="D44" i="5" s="1"/>
  <c r="D30" i="6"/>
  <c r="E30" i="6" s="1"/>
  <c r="F30" i="6" s="1"/>
  <c r="G30" i="6" s="1"/>
  <c r="D43" i="5" s="1"/>
  <c r="D29" i="6"/>
  <c r="E29" i="6" s="1"/>
  <c r="F29" i="6" s="1"/>
  <c r="G29" i="6" s="1"/>
  <c r="D42" i="5" s="1"/>
  <c r="D28" i="6"/>
  <c r="E28" i="6" s="1"/>
  <c r="F28" i="6" s="1"/>
  <c r="G28" i="6" s="1"/>
  <c r="D41" i="5" s="1"/>
  <c r="D27" i="6"/>
  <c r="E27" i="6" s="1"/>
  <c r="F27" i="6" s="1"/>
  <c r="G27" i="6" s="1"/>
  <c r="D40" i="5" s="1"/>
  <c r="D26" i="6"/>
  <c r="E26" i="6" s="1"/>
  <c r="F26" i="6" s="1"/>
  <c r="G26" i="6" s="1"/>
  <c r="D39" i="5" s="1"/>
  <c r="D25" i="6"/>
  <c r="E25" i="6" s="1"/>
  <c r="F25" i="6" s="1"/>
  <c r="G25" i="6" s="1"/>
  <c r="D38" i="5" s="1"/>
  <c r="D24" i="6"/>
  <c r="E24" i="6" s="1"/>
  <c r="F24" i="6" s="1"/>
  <c r="G24" i="6" s="1"/>
  <c r="D37" i="5" s="1"/>
  <c r="D23" i="6"/>
  <c r="E23" i="6" s="1"/>
  <c r="F23" i="6" s="1"/>
  <c r="G23" i="6" s="1"/>
  <c r="D36" i="5" s="1"/>
  <c r="D22" i="6"/>
  <c r="E22" i="6" s="1"/>
  <c r="F22" i="6" s="1"/>
  <c r="G22" i="6" s="1"/>
  <c r="D35" i="5" s="1"/>
  <c r="D21" i="6"/>
  <c r="E21" i="6" s="1"/>
  <c r="D20" i="6"/>
  <c r="E20" i="6" s="1"/>
  <c r="D19" i="6"/>
  <c r="E19" i="6" s="1"/>
  <c r="F19" i="6" s="1"/>
  <c r="G19" i="6" s="1"/>
  <c r="D32" i="5" s="1"/>
  <c r="D18" i="6"/>
  <c r="E18" i="6" s="1"/>
  <c r="D17" i="6"/>
  <c r="E17" i="6" s="1"/>
  <c r="D16" i="6"/>
  <c r="E16" i="6" s="1"/>
  <c r="F16" i="6" s="1"/>
  <c r="G16" i="6" s="1"/>
  <c r="D29" i="5" s="1"/>
  <c r="D15" i="6"/>
  <c r="E15" i="6" s="1"/>
  <c r="F15" i="6" s="1"/>
  <c r="G15" i="6" s="1"/>
  <c r="D28" i="5" s="1"/>
  <c r="D14" i="6"/>
  <c r="E14" i="6" s="1"/>
  <c r="F14" i="6" s="1"/>
  <c r="G14" i="6" s="1"/>
  <c r="D27" i="5" s="1"/>
  <c r="N8" i="1"/>
  <c r="P8" i="1" s="1"/>
  <c r="Q8" i="1" s="1"/>
  <c r="CC51" i="5" l="1"/>
  <c r="CE51" i="5" s="1"/>
  <c r="CC9" i="5"/>
  <c r="CE9" i="5" s="1"/>
  <c r="AJ51" i="5"/>
  <c r="AL51" i="5" s="1"/>
  <c r="CL9" i="5"/>
  <c r="CN9" i="5" s="1"/>
  <c r="AS51" i="5"/>
  <c r="AU51" i="5" s="1"/>
  <c r="R51" i="5"/>
  <c r="T51" i="5" s="1"/>
  <c r="BT9" i="5"/>
  <c r="BV9" i="5" s="1"/>
  <c r="BB51" i="5"/>
  <c r="BD51" i="5" s="1"/>
  <c r="CU51" i="5"/>
  <c r="CW51" i="5" s="1"/>
  <c r="BK51" i="5"/>
  <c r="BM51" i="5" s="1"/>
  <c r="CL51" i="5"/>
  <c r="CN51" i="5" s="1"/>
  <c r="AA51" i="5"/>
  <c r="AC51" i="5" s="1"/>
  <c r="BT51" i="5"/>
  <c r="BV51" i="5" s="1"/>
  <c r="CU9" i="5"/>
  <c r="CW9" i="5" s="1"/>
  <c r="BB9" i="5"/>
  <c r="BD9" i="5" s="1"/>
  <c r="AJ9" i="5"/>
  <c r="AL9" i="5" s="1"/>
  <c r="BK9" i="5"/>
  <c r="BM9" i="5" s="1"/>
  <c r="AS9" i="5"/>
  <c r="AU9" i="5" s="1"/>
  <c r="AA9" i="5"/>
  <c r="X14" i="5"/>
  <c r="W15" i="5"/>
  <c r="N12" i="5"/>
  <c r="N13" i="5" s="1"/>
  <c r="F18" i="6"/>
  <c r="G18" i="6" s="1"/>
  <c r="D31" i="5" s="1"/>
  <c r="F17" i="6"/>
  <c r="G17" i="6" s="1"/>
  <c r="D30" i="5" s="1"/>
  <c r="F21" i="6"/>
  <c r="G21" i="6" s="1"/>
  <c r="D34" i="5" s="1"/>
  <c r="F20" i="6"/>
  <c r="G20" i="6" s="1"/>
  <c r="D33" i="5" s="1"/>
  <c r="X15" i="5" l="1"/>
  <c r="W16" i="5"/>
  <c r="O12" i="5"/>
  <c r="O13" i="5"/>
  <c r="N14" i="5"/>
  <c r="CT52" i="5" l="1"/>
  <c r="CU52" i="5" s="1"/>
  <c r="CW52" i="5" s="1"/>
  <c r="CT53" i="5"/>
  <c r="CU53" i="5" s="1"/>
  <c r="CW53" i="5" s="1"/>
  <c r="CT61" i="5"/>
  <c r="CU61" i="5" s="1"/>
  <c r="CW61" i="5" s="1"/>
  <c r="CT69" i="5"/>
  <c r="CU69" i="5" s="1"/>
  <c r="CW69" i="5" s="1"/>
  <c r="CT77" i="5"/>
  <c r="CU77" i="5" s="1"/>
  <c r="CW77" i="5" s="1"/>
  <c r="CT85" i="5"/>
  <c r="CU85" i="5" s="1"/>
  <c r="CT54" i="5"/>
  <c r="CU54" i="5" s="1"/>
  <c r="CW54" i="5" s="1"/>
  <c r="CT62" i="5"/>
  <c r="CU62" i="5" s="1"/>
  <c r="CW62" i="5" s="1"/>
  <c r="CT70" i="5"/>
  <c r="CU70" i="5" s="1"/>
  <c r="CW70" i="5" s="1"/>
  <c r="CT78" i="5"/>
  <c r="CU78" i="5" s="1"/>
  <c r="CW78" i="5" s="1"/>
  <c r="CT55" i="5"/>
  <c r="CU55" i="5" s="1"/>
  <c r="CW55" i="5" s="1"/>
  <c r="CT63" i="5"/>
  <c r="CU63" i="5" s="1"/>
  <c r="CW63" i="5" s="1"/>
  <c r="CT71" i="5"/>
  <c r="CU71" i="5" s="1"/>
  <c r="CW71" i="5" s="1"/>
  <c r="CT79" i="5"/>
  <c r="CU79" i="5" s="1"/>
  <c r="CW79" i="5" s="1"/>
  <c r="CT56" i="5"/>
  <c r="CU56" i="5" s="1"/>
  <c r="CW56" i="5" s="1"/>
  <c r="CT64" i="5"/>
  <c r="CU64" i="5" s="1"/>
  <c r="CW64" i="5" s="1"/>
  <c r="CT72" i="5"/>
  <c r="CU72" i="5" s="1"/>
  <c r="CW72" i="5" s="1"/>
  <c r="CT80" i="5"/>
  <c r="CU80" i="5" s="1"/>
  <c r="CW80" i="5" s="1"/>
  <c r="CT57" i="5"/>
  <c r="CU57" i="5" s="1"/>
  <c r="CW57" i="5" s="1"/>
  <c r="CT65" i="5"/>
  <c r="CU65" i="5" s="1"/>
  <c r="CW65" i="5" s="1"/>
  <c r="CT73" i="5"/>
  <c r="CU73" i="5" s="1"/>
  <c r="CW73" i="5" s="1"/>
  <c r="CT81" i="5"/>
  <c r="CU81" i="5" s="1"/>
  <c r="CW81" i="5" s="1"/>
  <c r="CT58" i="5"/>
  <c r="CU58" i="5" s="1"/>
  <c r="CW58" i="5" s="1"/>
  <c r="CT66" i="5"/>
  <c r="CU66" i="5" s="1"/>
  <c r="CW66" i="5" s="1"/>
  <c r="CT74" i="5"/>
  <c r="CU74" i="5" s="1"/>
  <c r="CW74" i="5" s="1"/>
  <c r="CT82" i="5"/>
  <c r="CU82" i="5" s="1"/>
  <c r="CW82" i="5" s="1"/>
  <c r="CT68" i="5"/>
  <c r="CU68" i="5" s="1"/>
  <c r="CW68" i="5" s="1"/>
  <c r="CT59" i="5"/>
  <c r="CU59" i="5" s="1"/>
  <c r="CW59" i="5" s="1"/>
  <c r="CT67" i="5"/>
  <c r="CU67" i="5" s="1"/>
  <c r="CW67" i="5" s="1"/>
  <c r="CT75" i="5"/>
  <c r="CU75" i="5" s="1"/>
  <c r="CW75" i="5" s="1"/>
  <c r="CT83" i="5"/>
  <c r="CU83" i="5" s="1"/>
  <c r="CW83" i="5" s="1"/>
  <c r="CT60" i="5"/>
  <c r="CU60" i="5" s="1"/>
  <c r="CW60" i="5" s="1"/>
  <c r="CT76" i="5"/>
  <c r="CU76" i="5" s="1"/>
  <c r="CW76" i="5" s="1"/>
  <c r="CT84" i="5"/>
  <c r="CU84" i="5" s="1"/>
  <c r="CW84" i="5" s="1"/>
  <c r="CK52" i="5"/>
  <c r="CL52" i="5" s="1"/>
  <c r="CN52" i="5" s="1"/>
  <c r="CK53" i="5"/>
  <c r="CL53" i="5" s="1"/>
  <c r="CN53" i="5" s="1"/>
  <c r="CK61" i="5"/>
  <c r="CL61" i="5" s="1"/>
  <c r="CN61" i="5" s="1"/>
  <c r="CK69" i="5"/>
  <c r="CL69" i="5" s="1"/>
  <c r="CN69" i="5" s="1"/>
  <c r="CK77" i="5"/>
  <c r="CL77" i="5" s="1"/>
  <c r="CN77" i="5" s="1"/>
  <c r="CK85" i="5"/>
  <c r="CK82" i="5"/>
  <c r="CL82" i="5" s="1"/>
  <c r="CN82" i="5" s="1"/>
  <c r="CK54" i="5"/>
  <c r="CL54" i="5" s="1"/>
  <c r="CN54" i="5" s="1"/>
  <c r="CK62" i="5"/>
  <c r="CL62" i="5" s="1"/>
  <c r="CN62" i="5" s="1"/>
  <c r="CK70" i="5"/>
  <c r="CL70" i="5" s="1"/>
  <c r="CN70" i="5" s="1"/>
  <c r="CK78" i="5"/>
  <c r="CL78" i="5" s="1"/>
  <c r="CN78" i="5" s="1"/>
  <c r="CK55" i="5"/>
  <c r="CL55" i="5" s="1"/>
  <c r="CN55" i="5" s="1"/>
  <c r="CK63" i="5"/>
  <c r="CL63" i="5" s="1"/>
  <c r="CN63" i="5" s="1"/>
  <c r="CK71" i="5"/>
  <c r="CL71" i="5" s="1"/>
  <c r="CN71" i="5" s="1"/>
  <c r="CK79" i="5"/>
  <c r="CL79" i="5" s="1"/>
  <c r="CN79" i="5" s="1"/>
  <c r="CK74" i="5"/>
  <c r="CL74" i="5" s="1"/>
  <c r="CN74" i="5" s="1"/>
  <c r="CK56" i="5"/>
  <c r="CL56" i="5" s="1"/>
  <c r="CN56" i="5" s="1"/>
  <c r="CK64" i="5"/>
  <c r="CL64" i="5" s="1"/>
  <c r="CN64" i="5" s="1"/>
  <c r="CK72" i="5"/>
  <c r="CL72" i="5" s="1"/>
  <c r="CN72" i="5" s="1"/>
  <c r="CK80" i="5"/>
  <c r="CL80" i="5" s="1"/>
  <c r="CN80" i="5" s="1"/>
  <c r="CK58" i="5"/>
  <c r="CL58" i="5" s="1"/>
  <c r="CN58" i="5" s="1"/>
  <c r="CK57" i="5"/>
  <c r="CL57" i="5" s="1"/>
  <c r="CN57" i="5" s="1"/>
  <c r="CK65" i="5"/>
  <c r="CL65" i="5" s="1"/>
  <c r="CN65" i="5" s="1"/>
  <c r="CK73" i="5"/>
  <c r="CL73" i="5" s="1"/>
  <c r="CN73" i="5" s="1"/>
  <c r="CK81" i="5"/>
  <c r="CL81" i="5" s="1"/>
  <c r="CN81" i="5" s="1"/>
  <c r="CK66" i="5"/>
  <c r="CL66" i="5" s="1"/>
  <c r="CN66" i="5" s="1"/>
  <c r="CK59" i="5"/>
  <c r="CL59" i="5" s="1"/>
  <c r="CN59" i="5" s="1"/>
  <c r="CK67" i="5"/>
  <c r="CL67" i="5" s="1"/>
  <c r="CN67" i="5" s="1"/>
  <c r="CK75" i="5"/>
  <c r="CL75" i="5" s="1"/>
  <c r="CN75" i="5" s="1"/>
  <c r="CK83" i="5"/>
  <c r="CL83" i="5" s="1"/>
  <c r="CN83" i="5" s="1"/>
  <c r="CK60" i="5"/>
  <c r="CL60" i="5" s="1"/>
  <c r="CN60" i="5" s="1"/>
  <c r="CK68" i="5"/>
  <c r="CL68" i="5" s="1"/>
  <c r="CN68" i="5" s="1"/>
  <c r="CK76" i="5"/>
  <c r="CL76" i="5" s="1"/>
  <c r="CN76" i="5" s="1"/>
  <c r="CK84" i="5"/>
  <c r="CL84" i="5" s="1"/>
  <c r="CN84" i="5" s="1"/>
  <c r="CB52" i="5"/>
  <c r="CC52" i="5" s="1"/>
  <c r="CE52" i="5" s="1"/>
  <c r="CB53" i="5"/>
  <c r="CC53" i="5" s="1"/>
  <c r="CE53" i="5" s="1"/>
  <c r="CB61" i="5"/>
  <c r="CC61" i="5" s="1"/>
  <c r="CE61" i="5" s="1"/>
  <c r="CB69" i="5"/>
  <c r="CC69" i="5" s="1"/>
  <c r="CE69" i="5" s="1"/>
  <c r="CB77" i="5"/>
  <c r="CC77" i="5" s="1"/>
  <c r="CE77" i="5" s="1"/>
  <c r="CB85" i="5"/>
  <c r="CB54" i="5"/>
  <c r="CC54" i="5" s="1"/>
  <c r="CE54" i="5" s="1"/>
  <c r="CB62" i="5"/>
  <c r="CC62" i="5" s="1"/>
  <c r="CE62" i="5" s="1"/>
  <c r="CB70" i="5"/>
  <c r="CC70" i="5" s="1"/>
  <c r="CE70" i="5" s="1"/>
  <c r="CB78" i="5"/>
  <c r="CC78" i="5" s="1"/>
  <c r="CE78" i="5" s="1"/>
  <c r="CB81" i="5"/>
  <c r="CC81" i="5" s="1"/>
  <c r="CE81" i="5" s="1"/>
  <c r="CB55" i="5"/>
  <c r="CC55" i="5" s="1"/>
  <c r="CE55" i="5" s="1"/>
  <c r="CB63" i="5"/>
  <c r="CC63" i="5" s="1"/>
  <c r="CE63" i="5" s="1"/>
  <c r="CB71" i="5"/>
  <c r="CC71" i="5" s="1"/>
  <c r="CE71" i="5" s="1"/>
  <c r="CB79" i="5"/>
  <c r="CC79" i="5" s="1"/>
  <c r="CE79" i="5" s="1"/>
  <c r="CB73" i="5"/>
  <c r="CC73" i="5" s="1"/>
  <c r="CE73" i="5" s="1"/>
  <c r="CB56" i="5"/>
  <c r="CC56" i="5" s="1"/>
  <c r="CE56" i="5" s="1"/>
  <c r="CB64" i="5"/>
  <c r="CC64" i="5" s="1"/>
  <c r="CE64" i="5" s="1"/>
  <c r="CB72" i="5"/>
  <c r="CC72" i="5" s="1"/>
  <c r="CE72" i="5" s="1"/>
  <c r="CB80" i="5"/>
  <c r="CC80" i="5" s="1"/>
  <c r="CE80" i="5" s="1"/>
  <c r="CB65" i="5"/>
  <c r="CC65" i="5" s="1"/>
  <c r="CE65" i="5" s="1"/>
  <c r="CB57" i="5"/>
  <c r="CC57" i="5" s="1"/>
  <c r="CE57" i="5" s="1"/>
  <c r="CB58" i="5"/>
  <c r="CC58" i="5" s="1"/>
  <c r="CE58" i="5" s="1"/>
  <c r="CB66" i="5"/>
  <c r="CC66" i="5" s="1"/>
  <c r="CE66" i="5" s="1"/>
  <c r="CB74" i="5"/>
  <c r="CC74" i="5" s="1"/>
  <c r="CE74" i="5" s="1"/>
  <c r="CB82" i="5"/>
  <c r="CC82" i="5" s="1"/>
  <c r="CE82" i="5" s="1"/>
  <c r="CB60" i="5"/>
  <c r="CC60" i="5" s="1"/>
  <c r="CE60" i="5" s="1"/>
  <c r="CB84" i="5"/>
  <c r="CC84" i="5" s="1"/>
  <c r="CE84" i="5" s="1"/>
  <c r="CB59" i="5"/>
  <c r="CC59" i="5" s="1"/>
  <c r="CE59" i="5" s="1"/>
  <c r="CB67" i="5"/>
  <c r="CC67" i="5" s="1"/>
  <c r="CE67" i="5" s="1"/>
  <c r="CB75" i="5"/>
  <c r="CC75" i="5" s="1"/>
  <c r="CE75" i="5" s="1"/>
  <c r="CB83" i="5"/>
  <c r="CC83" i="5" s="1"/>
  <c r="CE83" i="5" s="1"/>
  <c r="CB68" i="5"/>
  <c r="CC68" i="5" s="1"/>
  <c r="CE68" i="5" s="1"/>
  <c r="CB76" i="5"/>
  <c r="CC76" i="5" s="1"/>
  <c r="CE76" i="5" s="1"/>
  <c r="BS52" i="5"/>
  <c r="BT52" i="5" s="1"/>
  <c r="BV52" i="5" s="1"/>
  <c r="BS53" i="5"/>
  <c r="BT53" i="5" s="1"/>
  <c r="BV53" i="5" s="1"/>
  <c r="BS61" i="5"/>
  <c r="BT61" i="5" s="1"/>
  <c r="BV61" i="5" s="1"/>
  <c r="BS69" i="5"/>
  <c r="BT69" i="5" s="1"/>
  <c r="BV69" i="5" s="1"/>
  <c r="BS77" i="5"/>
  <c r="BT77" i="5" s="1"/>
  <c r="BV77" i="5" s="1"/>
  <c r="BS85" i="5"/>
  <c r="BS54" i="5"/>
  <c r="BT54" i="5" s="1"/>
  <c r="BV54" i="5" s="1"/>
  <c r="BS62" i="5"/>
  <c r="BT62" i="5" s="1"/>
  <c r="BV62" i="5" s="1"/>
  <c r="BS70" i="5"/>
  <c r="BT70" i="5" s="1"/>
  <c r="BV70" i="5" s="1"/>
  <c r="BS78" i="5"/>
  <c r="BT78" i="5" s="1"/>
  <c r="BV78" i="5" s="1"/>
  <c r="BS79" i="5"/>
  <c r="BT79" i="5" s="1"/>
  <c r="BV79" i="5" s="1"/>
  <c r="BS56" i="5"/>
  <c r="BT56" i="5" s="1"/>
  <c r="BV56" i="5" s="1"/>
  <c r="BS64" i="5"/>
  <c r="BT64" i="5" s="1"/>
  <c r="BV64" i="5" s="1"/>
  <c r="BS72" i="5"/>
  <c r="BT72" i="5" s="1"/>
  <c r="BV72" i="5" s="1"/>
  <c r="BS80" i="5"/>
  <c r="BT80" i="5" s="1"/>
  <c r="BV80" i="5" s="1"/>
  <c r="BS76" i="5"/>
  <c r="BT76" i="5" s="1"/>
  <c r="BV76" i="5" s="1"/>
  <c r="BS63" i="5"/>
  <c r="BT63" i="5" s="1"/>
  <c r="BV63" i="5" s="1"/>
  <c r="BS57" i="5"/>
  <c r="BT57" i="5" s="1"/>
  <c r="BV57" i="5" s="1"/>
  <c r="BS65" i="5"/>
  <c r="BT65" i="5" s="1"/>
  <c r="BV65" i="5" s="1"/>
  <c r="BS73" i="5"/>
  <c r="BT73" i="5" s="1"/>
  <c r="BV73" i="5" s="1"/>
  <c r="BS81" i="5"/>
  <c r="BT81" i="5" s="1"/>
  <c r="BV81" i="5" s="1"/>
  <c r="BS84" i="5"/>
  <c r="BT84" i="5" s="1"/>
  <c r="BV84" i="5" s="1"/>
  <c r="BS58" i="5"/>
  <c r="BT58" i="5" s="1"/>
  <c r="BV58" i="5" s="1"/>
  <c r="BS66" i="5"/>
  <c r="BT66" i="5" s="1"/>
  <c r="BV66" i="5" s="1"/>
  <c r="BS74" i="5"/>
  <c r="BT74" i="5" s="1"/>
  <c r="BV74" i="5" s="1"/>
  <c r="BS82" i="5"/>
  <c r="BT82" i="5" s="1"/>
  <c r="BV82" i="5" s="1"/>
  <c r="BS68" i="5"/>
  <c r="BT68" i="5" s="1"/>
  <c r="BV68" i="5" s="1"/>
  <c r="BS71" i="5"/>
  <c r="BT71" i="5" s="1"/>
  <c r="BV71" i="5" s="1"/>
  <c r="BS59" i="5"/>
  <c r="BT59" i="5" s="1"/>
  <c r="BV59" i="5" s="1"/>
  <c r="BS67" i="5"/>
  <c r="BT67" i="5" s="1"/>
  <c r="BV67" i="5" s="1"/>
  <c r="BS75" i="5"/>
  <c r="BT75" i="5" s="1"/>
  <c r="BV75" i="5" s="1"/>
  <c r="BS83" i="5"/>
  <c r="BT83" i="5" s="1"/>
  <c r="BV83" i="5" s="1"/>
  <c r="BS60" i="5"/>
  <c r="BT60" i="5" s="1"/>
  <c r="BV60" i="5" s="1"/>
  <c r="BS55" i="5"/>
  <c r="BT55" i="5" s="1"/>
  <c r="BV55" i="5" s="1"/>
  <c r="BJ52" i="5"/>
  <c r="BK52" i="5" s="1"/>
  <c r="BM52" i="5" s="1"/>
  <c r="BJ54" i="5"/>
  <c r="BK54" i="5" s="1"/>
  <c r="BM54" i="5" s="1"/>
  <c r="BJ62" i="5"/>
  <c r="BK62" i="5" s="1"/>
  <c r="BM62" i="5" s="1"/>
  <c r="BJ70" i="5"/>
  <c r="BK70" i="5" s="1"/>
  <c r="BM70" i="5" s="1"/>
  <c r="BJ78" i="5"/>
  <c r="BK78" i="5" s="1"/>
  <c r="BM78" i="5" s="1"/>
  <c r="BJ55" i="5"/>
  <c r="BK55" i="5" s="1"/>
  <c r="BM55" i="5" s="1"/>
  <c r="BJ63" i="5"/>
  <c r="BK63" i="5" s="1"/>
  <c r="BM63" i="5" s="1"/>
  <c r="BJ71" i="5"/>
  <c r="BK71" i="5" s="1"/>
  <c r="BM71" i="5" s="1"/>
  <c r="BJ79" i="5"/>
  <c r="BK79" i="5" s="1"/>
  <c r="BM79" i="5" s="1"/>
  <c r="BJ85" i="5"/>
  <c r="BJ56" i="5"/>
  <c r="BK56" i="5" s="1"/>
  <c r="BM56" i="5" s="1"/>
  <c r="BJ64" i="5"/>
  <c r="BK64" i="5" s="1"/>
  <c r="BM64" i="5" s="1"/>
  <c r="BJ72" i="5"/>
  <c r="BK72" i="5" s="1"/>
  <c r="BM72" i="5" s="1"/>
  <c r="BJ80" i="5"/>
  <c r="BK80" i="5" s="1"/>
  <c r="BM80" i="5" s="1"/>
  <c r="BJ84" i="5"/>
  <c r="BK84" i="5" s="1"/>
  <c r="BM84" i="5" s="1"/>
  <c r="BJ69" i="5"/>
  <c r="BK69" i="5" s="1"/>
  <c r="BM69" i="5" s="1"/>
  <c r="BJ57" i="5"/>
  <c r="BK57" i="5" s="1"/>
  <c r="BM57" i="5" s="1"/>
  <c r="BJ65" i="5"/>
  <c r="BK65" i="5" s="1"/>
  <c r="BM65" i="5" s="1"/>
  <c r="BJ73" i="5"/>
  <c r="BK73" i="5" s="1"/>
  <c r="BM73" i="5" s="1"/>
  <c r="BJ81" i="5"/>
  <c r="BK81" i="5" s="1"/>
  <c r="BM81" i="5" s="1"/>
  <c r="BJ76" i="5"/>
  <c r="BK76" i="5" s="1"/>
  <c r="BM76" i="5" s="1"/>
  <c r="BJ77" i="5"/>
  <c r="BK77" i="5" s="1"/>
  <c r="BM77" i="5" s="1"/>
  <c r="BJ58" i="5"/>
  <c r="BK58" i="5" s="1"/>
  <c r="BM58" i="5" s="1"/>
  <c r="BJ66" i="5"/>
  <c r="BK66" i="5" s="1"/>
  <c r="BM66" i="5" s="1"/>
  <c r="BJ74" i="5"/>
  <c r="BK74" i="5" s="1"/>
  <c r="BM74" i="5" s="1"/>
  <c r="BJ82" i="5"/>
  <c r="BK82" i="5" s="1"/>
  <c r="BM82" i="5" s="1"/>
  <c r="BJ68" i="5"/>
  <c r="BK68" i="5" s="1"/>
  <c r="BM68" i="5" s="1"/>
  <c r="BJ61" i="5"/>
  <c r="BK61" i="5" s="1"/>
  <c r="BM61" i="5" s="1"/>
  <c r="BJ59" i="5"/>
  <c r="BK59" i="5" s="1"/>
  <c r="BM59" i="5" s="1"/>
  <c r="BJ67" i="5"/>
  <c r="BK67" i="5" s="1"/>
  <c r="BM67" i="5" s="1"/>
  <c r="BJ75" i="5"/>
  <c r="BK75" i="5" s="1"/>
  <c r="BM75" i="5" s="1"/>
  <c r="BJ83" i="5"/>
  <c r="BK83" i="5" s="1"/>
  <c r="BM83" i="5" s="1"/>
  <c r="BJ60" i="5"/>
  <c r="BK60" i="5" s="1"/>
  <c r="BM60" i="5" s="1"/>
  <c r="BJ53" i="5"/>
  <c r="BK53" i="5" s="1"/>
  <c r="BM53" i="5" s="1"/>
  <c r="BA52" i="5"/>
  <c r="BB52" i="5" s="1"/>
  <c r="BD52" i="5" s="1"/>
  <c r="BA53" i="5"/>
  <c r="BB53" i="5" s="1"/>
  <c r="BD53" i="5" s="1"/>
  <c r="BA61" i="5"/>
  <c r="BB61" i="5" s="1"/>
  <c r="BD61" i="5" s="1"/>
  <c r="BA69" i="5"/>
  <c r="BB69" i="5" s="1"/>
  <c r="BD69" i="5" s="1"/>
  <c r="BA77" i="5"/>
  <c r="BB77" i="5" s="1"/>
  <c r="BD77" i="5" s="1"/>
  <c r="BA85" i="5"/>
  <c r="BA54" i="5"/>
  <c r="BB54" i="5" s="1"/>
  <c r="BD54" i="5" s="1"/>
  <c r="BA62" i="5"/>
  <c r="BB62" i="5" s="1"/>
  <c r="BD62" i="5" s="1"/>
  <c r="BA70" i="5"/>
  <c r="BB70" i="5" s="1"/>
  <c r="BD70" i="5" s="1"/>
  <c r="BA78" i="5"/>
  <c r="BB78" i="5" s="1"/>
  <c r="BD78" i="5" s="1"/>
  <c r="BA55" i="5"/>
  <c r="BB55" i="5" s="1"/>
  <c r="BD55" i="5" s="1"/>
  <c r="BA63" i="5"/>
  <c r="BB63" i="5" s="1"/>
  <c r="BD63" i="5" s="1"/>
  <c r="BA71" i="5"/>
  <c r="BB71" i="5" s="1"/>
  <c r="BD71" i="5" s="1"/>
  <c r="BA79" i="5"/>
  <c r="BB79" i="5" s="1"/>
  <c r="BD79" i="5" s="1"/>
  <c r="BA76" i="5"/>
  <c r="BB76" i="5" s="1"/>
  <c r="BD76" i="5" s="1"/>
  <c r="BA56" i="5"/>
  <c r="BB56" i="5" s="1"/>
  <c r="BD56" i="5" s="1"/>
  <c r="BA64" i="5"/>
  <c r="BB64" i="5" s="1"/>
  <c r="BD64" i="5" s="1"/>
  <c r="BA72" i="5"/>
  <c r="BB72" i="5" s="1"/>
  <c r="BD72" i="5" s="1"/>
  <c r="BA80" i="5"/>
  <c r="BB80" i="5" s="1"/>
  <c r="BD80" i="5" s="1"/>
  <c r="BA57" i="5"/>
  <c r="BB57" i="5" s="1"/>
  <c r="BD57" i="5" s="1"/>
  <c r="BA65" i="5"/>
  <c r="BB65" i="5" s="1"/>
  <c r="BD65" i="5" s="1"/>
  <c r="BA73" i="5"/>
  <c r="BB73" i="5" s="1"/>
  <c r="BD73" i="5" s="1"/>
  <c r="BA81" i="5"/>
  <c r="BB81" i="5" s="1"/>
  <c r="BD81" i="5" s="1"/>
  <c r="BA84" i="5"/>
  <c r="BB84" i="5" s="1"/>
  <c r="BD84" i="5" s="1"/>
  <c r="BA58" i="5"/>
  <c r="BB58" i="5" s="1"/>
  <c r="BD58" i="5" s="1"/>
  <c r="BA66" i="5"/>
  <c r="BB66" i="5" s="1"/>
  <c r="BD66" i="5" s="1"/>
  <c r="BA74" i="5"/>
  <c r="BB74" i="5" s="1"/>
  <c r="BD74" i="5" s="1"/>
  <c r="BA82" i="5"/>
  <c r="BB82" i="5" s="1"/>
  <c r="BD82" i="5" s="1"/>
  <c r="BA68" i="5"/>
  <c r="BB68" i="5" s="1"/>
  <c r="BD68" i="5" s="1"/>
  <c r="BA59" i="5"/>
  <c r="BB59" i="5" s="1"/>
  <c r="BD59" i="5" s="1"/>
  <c r="BA67" i="5"/>
  <c r="BB67" i="5" s="1"/>
  <c r="BD67" i="5" s="1"/>
  <c r="BA75" i="5"/>
  <c r="BB75" i="5" s="1"/>
  <c r="BD75" i="5" s="1"/>
  <c r="BA83" i="5"/>
  <c r="BB83" i="5" s="1"/>
  <c r="BD83" i="5" s="1"/>
  <c r="BA60" i="5"/>
  <c r="BB60" i="5" s="1"/>
  <c r="BD60" i="5" s="1"/>
  <c r="AR52" i="5"/>
  <c r="AS52" i="5" s="1"/>
  <c r="AU52" i="5" s="1"/>
  <c r="AR54" i="5"/>
  <c r="AS54" i="5" s="1"/>
  <c r="AU54" i="5" s="1"/>
  <c r="AR62" i="5"/>
  <c r="AS62" i="5" s="1"/>
  <c r="AU62" i="5" s="1"/>
  <c r="AR70" i="5"/>
  <c r="AS70" i="5" s="1"/>
  <c r="AU70" i="5" s="1"/>
  <c r="AR78" i="5"/>
  <c r="AS78" i="5" s="1"/>
  <c r="AU78" i="5" s="1"/>
  <c r="AR55" i="5"/>
  <c r="AS55" i="5" s="1"/>
  <c r="AU55" i="5" s="1"/>
  <c r="AR63" i="5"/>
  <c r="AS63" i="5" s="1"/>
  <c r="AU63" i="5" s="1"/>
  <c r="AR71" i="5"/>
  <c r="AS71" i="5" s="1"/>
  <c r="AU71" i="5" s="1"/>
  <c r="AR79" i="5"/>
  <c r="AS79" i="5" s="1"/>
  <c r="AU79" i="5" s="1"/>
  <c r="AR56" i="5"/>
  <c r="AS56" i="5" s="1"/>
  <c r="AU56" i="5" s="1"/>
  <c r="AR64" i="5"/>
  <c r="AS64" i="5" s="1"/>
  <c r="AU64" i="5" s="1"/>
  <c r="AR72" i="5"/>
  <c r="AS72" i="5" s="1"/>
  <c r="AU72" i="5" s="1"/>
  <c r="AR80" i="5"/>
  <c r="AS80" i="5" s="1"/>
  <c r="AU80" i="5" s="1"/>
  <c r="AR68" i="5"/>
  <c r="AS68" i="5" s="1"/>
  <c r="AU68" i="5" s="1"/>
  <c r="AR61" i="5"/>
  <c r="AS61" i="5" s="1"/>
  <c r="AU61" i="5" s="1"/>
  <c r="AR57" i="5"/>
  <c r="AS57" i="5" s="1"/>
  <c r="AU57" i="5" s="1"/>
  <c r="AR65" i="5"/>
  <c r="AS65" i="5" s="1"/>
  <c r="AU65" i="5" s="1"/>
  <c r="AR73" i="5"/>
  <c r="AS73" i="5" s="1"/>
  <c r="AU73" i="5" s="1"/>
  <c r="AR81" i="5"/>
  <c r="AS81" i="5" s="1"/>
  <c r="AU81" i="5" s="1"/>
  <c r="AR84" i="5"/>
  <c r="AS84" i="5" s="1"/>
  <c r="AU84" i="5" s="1"/>
  <c r="AR77" i="5"/>
  <c r="AS77" i="5" s="1"/>
  <c r="AU77" i="5" s="1"/>
  <c r="AR58" i="5"/>
  <c r="AS58" i="5" s="1"/>
  <c r="AU58" i="5" s="1"/>
  <c r="AR66" i="5"/>
  <c r="AS66" i="5" s="1"/>
  <c r="AU66" i="5" s="1"/>
  <c r="AR74" i="5"/>
  <c r="AS74" i="5" s="1"/>
  <c r="AU74" i="5" s="1"/>
  <c r="AR82" i="5"/>
  <c r="AS82" i="5" s="1"/>
  <c r="AU82" i="5" s="1"/>
  <c r="AR76" i="5"/>
  <c r="AS76" i="5" s="1"/>
  <c r="AU76" i="5" s="1"/>
  <c r="AR69" i="5"/>
  <c r="AS69" i="5" s="1"/>
  <c r="AU69" i="5" s="1"/>
  <c r="AR59" i="5"/>
  <c r="AS59" i="5" s="1"/>
  <c r="AU59" i="5" s="1"/>
  <c r="AR67" i="5"/>
  <c r="AS67" i="5" s="1"/>
  <c r="AU67" i="5" s="1"/>
  <c r="AR75" i="5"/>
  <c r="AS75" i="5" s="1"/>
  <c r="AU75" i="5" s="1"/>
  <c r="AR83" i="5"/>
  <c r="AS83" i="5" s="1"/>
  <c r="AU83" i="5" s="1"/>
  <c r="AR60" i="5"/>
  <c r="AS60" i="5" s="1"/>
  <c r="AU60" i="5" s="1"/>
  <c r="AR53" i="5"/>
  <c r="AS53" i="5" s="1"/>
  <c r="AU53" i="5" s="1"/>
  <c r="AR85" i="5"/>
  <c r="AI52" i="5"/>
  <c r="AJ52" i="5" s="1"/>
  <c r="AL52" i="5" s="1"/>
  <c r="AI53" i="5"/>
  <c r="AJ53" i="5" s="1"/>
  <c r="AL53" i="5" s="1"/>
  <c r="AI61" i="5"/>
  <c r="AJ61" i="5" s="1"/>
  <c r="AL61" i="5" s="1"/>
  <c r="AI69" i="5"/>
  <c r="AJ69" i="5" s="1"/>
  <c r="AL69" i="5" s="1"/>
  <c r="AI77" i="5"/>
  <c r="AJ77" i="5" s="1"/>
  <c r="AL77" i="5" s="1"/>
  <c r="AI85" i="5"/>
  <c r="AI84" i="5"/>
  <c r="AJ84" i="5" s="1"/>
  <c r="AL84" i="5" s="1"/>
  <c r="AI54" i="5"/>
  <c r="AJ54" i="5" s="1"/>
  <c r="AL54" i="5" s="1"/>
  <c r="AI62" i="5"/>
  <c r="AJ62" i="5" s="1"/>
  <c r="AL62" i="5" s="1"/>
  <c r="AI70" i="5"/>
  <c r="AJ70" i="5" s="1"/>
  <c r="AL70" i="5" s="1"/>
  <c r="AI78" i="5"/>
  <c r="AJ78" i="5" s="1"/>
  <c r="AL78" i="5" s="1"/>
  <c r="AI76" i="5"/>
  <c r="AJ76" i="5" s="1"/>
  <c r="AL76" i="5" s="1"/>
  <c r="AI55" i="5"/>
  <c r="AJ55" i="5" s="1"/>
  <c r="AL55" i="5" s="1"/>
  <c r="AI63" i="5"/>
  <c r="AJ63" i="5" s="1"/>
  <c r="AL63" i="5" s="1"/>
  <c r="AI71" i="5"/>
  <c r="AJ71" i="5" s="1"/>
  <c r="AL71" i="5" s="1"/>
  <c r="AI79" i="5"/>
  <c r="AJ79" i="5" s="1"/>
  <c r="AL79" i="5" s="1"/>
  <c r="AI56" i="5"/>
  <c r="AJ56" i="5" s="1"/>
  <c r="AL56" i="5" s="1"/>
  <c r="AI64" i="5"/>
  <c r="AJ64" i="5" s="1"/>
  <c r="AL64" i="5" s="1"/>
  <c r="AI72" i="5"/>
  <c r="AJ72" i="5" s="1"/>
  <c r="AL72" i="5" s="1"/>
  <c r="AI80" i="5"/>
  <c r="AJ80" i="5" s="1"/>
  <c r="AL80" i="5" s="1"/>
  <c r="AI57" i="5"/>
  <c r="AJ57" i="5" s="1"/>
  <c r="AL57" i="5" s="1"/>
  <c r="AI65" i="5"/>
  <c r="AJ65" i="5" s="1"/>
  <c r="AL65" i="5" s="1"/>
  <c r="AI73" i="5"/>
  <c r="AJ73" i="5" s="1"/>
  <c r="AL73" i="5" s="1"/>
  <c r="AI81" i="5"/>
  <c r="AJ81" i="5" s="1"/>
  <c r="AL81" i="5" s="1"/>
  <c r="AI58" i="5"/>
  <c r="AJ58" i="5" s="1"/>
  <c r="AL58" i="5" s="1"/>
  <c r="AI66" i="5"/>
  <c r="AJ66" i="5" s="1"/>
  <c r="AL66" i="5" s="1"/>
  <c r="AI74" i="5"/>
  <c r="AJ74" i="5" s="1"/>
  <c r="AL74" i="5" s="1"/>
  <c r="AI82" i="5"/>
  <c r="AJ82" i="5" s="1"/>
  <c r="AL82" i="5" s="1"/>
  <c r="AI68" i="5"/>
  <c r="AJ68" i="5" s="1"/>
  <c r="AL68" i="5" s="1"/>
  <c r="AI59" i="5"/>
  <c r="AJ59" i="5" s="1"/>
  <c r="AL59" i="5" s="1"/>
  <c r="AI67" i="5"/>
  <c r="AJ67" i="5" s="1"/>
  <c r="AL67" i="5" s="1"/>
  <c r="AI75" i="5"/>
  <c r="AJ75" i="5" s="1"/>
  <c r="AL75" i="5" s="1"/>
  <c r="AI83" i="5"/>
  <c r="AJ83" i="5" s="1"/>
  <c r="AL83" i="5" s="1"/>
  <c r="AI60" i="5"/>
  <c r="AJ60" i="5" s="1"/>
  <c r="AL60" i="5" s="1"/>
  <c r="Z52" i="5"/>
  <c r="AA52" i="5" s="1"/>
  <c r="AC52" i="5" s="1"/>
  <c r="Z53" i="5"/>
  <c r="AA53" i="5" s="1"/>
  <c r="AC53" i="5" s="1"/>
  <c r="Z77" i="5"/>
  <c r="AA77" i="5" s="1"/>
  <c r="AC77" i="5" s="1"/>
  <c r="Z71" i="5"/>
  <c r="AA71" i="5" s="1"/>
  <c r="AC71" i="5" s="1"/>
  <c r="Z54" i="5"/>
  <c r="AA54" i="5" s="1"/>
  <c r="AC54" i="5" s="1"/>
  <c r="Z55" i="5"/>
  <c r="AA55" i="5" s="1"/>
  <c r="AC55" i="5" s="1"/>
  <c r="Z56" i="5"/>
  <c r="AA56" i="5" s="1"/>
  <c r="AC56" i="5" s="1"/>
  <c r="Z64" i="5"/>
  <c r="AA64" i="5" s="1"/>
  <c r="AC64" i="5" s="1"/>
  <c r="Z72" i="5"/>
  <c r="AA72" i="5" s="1"/>
  <c r="AC72" i="5" s="1"/>
  <c r="Z80" i="5"/>
  <c r="AA80" i="5" s="1"/>
  <c r="AC80" i="5" s="1"/>
  <c r="Z57" i="5"/>
  <c r="AA57" i="5" s="1"/>
  <c r="AC57" i="5" s="1"/>
  <c r="Z73" i="5"/>
  <c r="AA73" i="5" s="1"/>
  <c r="AC73" i="5" s="1"/>
  <c r="Z81" i="5"/>
  <c r="AA81" i="5" s="1"/>
  <c r="AC81" i="5" s="1"/>
  <c r="Z69" i="5"/>
  <c r="AA69" i="5" s="1"/>
  <c r="AC69" i="5" s="1"/>
  <c r="Z85" i="5"/>
  <c r="Z70" i="5"/>
  <c r="AA70" i="5" s="1"/>
  <c r="AC70" i="5" s="1"/>
  <c r="Z63" i="5"/>
  <c r="AA63" i="5" s="1"/>
  <c r="AC63" i="5" s="1"/>
  <c r="Z65" i="5"/>
  <c r="AA65" i="5" s="1"/>
  <c r="AC65" i="5" s="1"/>
  <c r="Z79" i="5"/>
  <c r="AA79" i="5" s="1"/>
  <c r="AC79" i="5" s="1"/>
  <c r="Z58" i="5"/>
  <c r="AA58" i="5" s="1"/>
  <c r="AC58" i="5" s="1"/>
  <c r="Z66" i="5"/>
  <c r="AA66" i="5" s="1"/>
  <c r="AC66" i="5" s="1"/>
  <c r="Z74" i="5"/>
  <c r="AA74" i="5" s="1"/>
  <c r="AC74" i="5" s="1"/>
  <c r="Z82" i="5"/>
  <c r="AA82" i="5" s="1"/>
  <c r="AC82" i="5" s="1"/>
  <c r="Z68" i="5"/>
  <c r="AA68" i="5" s="1"/>
  <c r="AC68" i="5" s="1"/>
  <c r="Z78" i="5"/>
  <c r="AA78" i="5" s="1"/>
  <c r="AC78" i="5" s="1"/>
  <c r="Z59" i="5"/>
  <c r="AA59" i="5" s="1"/>
  <c r="AC59" i="5" s="1"/>
  <c r="Z67" i="5"/>
  <c r="AA67" i="5" s="1"/>
  <c r="AC67" i="5" s="1"/>
  <c r="Z75" i="5"/>
  <c r="AA75" i="5" s="1"/>
  <c r="AC75" i="5" s="1"/>
  <c r="Z83" i="5"/>
  <c r="AA83" i="5" s="1"/>
  <c r="AC83" i="5" s="1"/>
  <c r="Z60" i="5"/>
  <c r="AA60" i="5" s="1"/>
  <c r="AC60" i="5" s="1"/>
  <c r="Z76" i="5"/>
  <c r="AA76" i="5" s="1"/>
  <c r="AC76" i="5" s="1"/>
  <c r="Z84" i="5"/>
  <c r="AA84" i="5" s="1"/>
  <c r="AC84" i="5" s="1"/>
  <c r="Z61" i="5"/>
  <c r="AA61" i="5" s="1"/>
  <c r="AC61" i="5" s="1"/>
  <c r="Z62" i="5"/>
  <c r="AA62" i="5" s="1"/>
  <c r="AC62" i="5" s="1"/>
  <c r="Q52" i="5"/>
  <c r="R52" i="5" s="1"/>
  <c r="T52" i="5" s="1"/>
  <c r="Q53" i="5"/>
  <c r="R53" i="5" s="1"/>
  <c r="T53" i="5" s="1"/>
  <c r="Q61" i="5"/>
  <c r="R61" i="5" s="1"/>
  <c r="T61" i="5" s="1"/>
  <c r="Q69" i="5"/>
  <c r="R69" i="5" s="1"/>
  <c r="T69" i="5" s="1"/>
  <c r="Q77" i="5"/>
  <c r="R77" i="5" s="1"/>
  <c r="T77" i="5" s="1"/>
  <c r="Q85" i="5"/>
  <c r="Q54" i="5"/>
  <c r="R54" i="5" s="1"/>
  <c r="T54" i="5" s="1"/>
  <c r="Q62" i="5"/>
  <c r="R62" i="5" s="1"/>
  <c r="T62" i="5" s="1"/>
  <c r="Q70" i="5"/>
  <c r="R70" i="5" s="1"/>
  <c r="T70" i="5" s="1"/>
  <c r="Q78" i="5"/>
  <c r="R78" i="5" s="1"/>
  <c r="T78" i="5" s="1"/>
  <c r="Q55" i="5"/>
  <c r="R55" i="5" s="1"/>
  <c r="T55" i="5" s="1"/>
  <c r="Q63" i="5"/>
  <c r="R63" i="5" s="1"/>
  <c r="T63" i="5" s="1"/>
  <c r="Q71" i="5"/>
  <c r="R71" i="5" s="1"/>
  <c r="T71" i="5" s="1"/>
  <c r="Q79" i="5"/>
  <c r="R79" i="5" s="1"/>
  <c r="T79" i="5" s="1"/>
  <c r="Q56" i="5"/>
  <c r="R56" i="5" s="1"/>
  <c r="T56" i="5" s="1"/>
  <c r="Q64" i="5"/>
  <c r="R64" i="5" s="1"/>
  <c r="T64" i="5" s="1"/>
  <c r="Q72" i="5"/>
  <c r="R72" i="5" s="1"/>
  <c r="T72" i="5" s="1"/>
  <c r="Q80" i="5"/>
  <c r="R80" i="5" s="1"/>
  <c r="T80" i="5" s="1"/>
  <c r="Q68" i="5"/>
  <c r="R68" i="5" s="1"/>
  <c r="T68" i="5" s="1"/>
  <c r="Q57" i="5"/>
  <c r="R57" i="5" s="1"/>
  <c r="T57" i="5" s="1"/>
  <c r="Q65" i="5"/>
  <c r="R65" i="5" s="1"/>
  <c r="T65" i="5" s="1"/>
  <c r="Q73" i="5"/>
  <c r="R73" i="5" s="1"/>
  <c r="T73" i="5" s="1"/>
  <c r="Q81" i="5"/>
  <c r="R81" i="5" s="1"/>
  <c r="T81" i="5" s="1"/>
  <c r="Q84" i="5"/>
  <c r="R84" i="5" s="1"/>
  <c r="T84" i="5" s="1"/>
  <c r="Q58" i="5"/>
  <c r="R58" i="5" s="1"/>
  <c r="T58" i="5" s="1"/>
  <c r="Q66" i="5"/>
  <c r="R66" i="5" s="1"/>
  <c r="T66" i="5" s="1"/>
  <c r="Q74" i="5"/>
  <c r="R74" i="5" s="1"/>
  <c r="T74" i="5" s="1"/>
  <c r="Q82" i="5"/>
  <c r="R82" i="5" s="1"/>
  <c r="T82" i="5" s="1"/>
  <c r="Q76" i="5"/>
  <c r="R76" i="5" s="1"/>
  <c r="T76" i="5" s="1"/>
  <c r="Q59" i="5"/>
  <c r="R59" i="5" s="1"/>
  <c r="T59" i="5" s="1"/>
  <c r="Q67" i="5"/>
  <c r="R67" i="5" s="1"/>
  <c r="T67" i="5" s="1"/>
  <c r="Q75" i="5"/>
  <c r="R75" i="5" s="1"/>
  <c r="T75" i="5" s="1"/>
  <c r="Q83" i="5"/>
  <c r="R83" i="5" s="1"/>
  <c r="T83" i="5" s="1"/>
  <c r="Q60" i="5"/>
  <c r="R60" i="5" s="1"/>
  <c r="T60" i="5" s="1"/>
  <c r="CT10" i="5"/>
  <c r="CU10" i="5" s="1"/>
  <c r="CW10" i="5" s="1"/>
  <c r="CT11" i="5"/>
  <c r="CU11" i="5" s="1"/>
  <c r="CW11" i="5" s="1"/>
  <c r="CT19" i="5"/>
  <c r="CU19" i="5" s="1"/>
  <c r="CW19" i="5" s="1"/>
  <c r="CT27" i="5"/>
  <c r="CU27" i="5" s="1"/>
  <c r="CW27" i="5" s="1"/>
  <c r="CT35" i="5"/>
  <c r="CU35" i="5" s="1"/>
  <c r="CW35" i="5" s="1"/>
  <c r="CT43" i="5"/>
  <c r="CT34" i="5"/>
  <c r="CU34" i="5" s="1"/>
  <c r="CW34" i="5" s="1"/>
  <c r="CT12" i="5"/>
  <c r="CU12" i="5" s="1"/>
  <c r="CW12" i="5" s="1"/>
  <c r="CT20" i="5"/>
  <c r="CU20" i="5" s="1"/>
  <c r="CW20" i="5" s="1"/>
  <c r="CT28" i="5"/>
  <c r="CU28" i="5" s="1"/>
  <c r="CW28" i="5" s="1"/>
  <c r="CT36" i="5"/>
  <c r="CU36" i="5" s="1"/>
  <c r="CW36" i="5" s="1"/>
  <c r="CT42" i="5"/>
  <c r="CU42" i="5" s="1"/>
  <c r="CW42" i="5" s="1"/>
  <c r="CT13" i="5"/>
  <c r="CU13" i="5" s="1"/>
  <c r="CW13" i="5" s="1"/>
  <c r="CT21" i="5"/>
  <c r="CU21" i="5" s="1"/>
  <c r="CW21" i="5" s="1"/>
  <c r="CT29" i="5"/>
  <c r="CU29" i="5" s="1"/>
  <c r="CW29" i="5" s="1"/>
  <c r="CT37" i="5"/>
  <c r="CU37" i="5" s="1"/>
  <c r="CW37" i="5" s="1"/>
  <c r="CT41" i="5"/>
  <c r="CU41" i="5" s="1"/>
  <c r="CW41" i="5" s="1"/>
  <c r="CT14" i="5"/>
  <c r="CU14" i="5" s="1"/>
  <c r="CW14" i="5" s="1"/>
  <c r="CT22" i="5"/>
  <c r="CU22" i="5" s="1"/>
  <c r="CW22" i="5" s="1"/>
  <c r="CT30" i="5"/>
  <c r="CU30" i="5" s="1"/>
  <c r="CW30" i="5" s="1"/>
  <c r="CT38" i="5"/>
  <c r="CU38" i="5" s="1"/>
  <c r="CW38" i="5" s="1"/>
  <c r="CT25" i="5"/>
  <c r="CU25" i="5" s="1"/>
  <c r="CW25" i="5" s="1"/>
  <c r="CT26" i="5"/>
  <c r="CU26" i="5" s="1"/>
  <c r="CW26" i="5" s="1"/>
  <c r="CT15" i="5"/>
  <c r="CU15" i="5" s="1"/>
  <c r="CW15" i="5" s="1"/>
  <c r="CT23" i="5"/>
  <c r="CU23" i="5" s="1"/>
  <c r="CW23" i="5" s="1"/>
  <c r="CT31" i="5"/>
  <c r="CU31" i="5" s="1"/>
  <c r="CW31" i="5" s="1"/>
  <c r="CT39" i="5"/>
  <c r="CU39" i="5" s="1"/>
  <c r="CW39" i="5" s="1"/>
  <c r="CT33" i="5"/>
  <c r="CU33" i="5" s="1"/>
  <c r="CW33" i="5" s="1"/>
  <c r="CT16" i="5"/>
  <c r="CU16" i="5" s="1"/>
  <c r="CW16" i="5" s="1"/>
  <c r="CT24" i="5"/>
  <c r="CU24" i="5" s="1"/>
  <c r="CW24" i="5" s="1"/>
  <c r="CT32" i="5"/>
  <c r="CU32" i="5" s="1"/>
  <c r="CW32" i="5" s="1"/>
  <c r="CT40" i="5"/>
  <c r="CU40" i="5" s="1"/>
  <c r="CW40" i="5" s="1"/>
  <c r="CT17" i="5"/>
  <c r="CU17" i="5" s="1"/>
  <c r="CW17" i="5" s="1"/>
  <c r="CT18" i="5"/>
  <c r="CU18" i="5" s="1"/>
  <c r="CW18" i="5" s="1"/>
  <c r="CK10" i="5"/>
  <c r="CK14" i="5"/>
  <c r="CK22" i="5"/>
  <c r="CK30" i="5"/>
  <c r="CK38" i="5"/>
  <c r="CK16" i="5"/>
  <c r="CK32" i="5"/>
  <c r="CK11" i="5"/>
  <c r="CK35" i="5"/>
  <c r="CK20" i="5"/>
  <c r="CK21" i="5"/>
  <c r="CK15" i="5"/>
  <c r="CK23" i="5"/>
  <c r="CK31" i="5"/>
  <c r="CK39" i="5"/>
  <c r="CK24" i="5"/>
  <c r="CK40" i="5"/>
  <c r="CK27" i="5"/>
  <c r="CK28" i="5"/>
  <c r="CK36" i="5"/>
  <c r="CK29" i="5"/>
  <c r="CK17" i="5"/>
  <c r="CK25" i="5"/>
  <c r="CK33" i="5"/>
  <c r="CK41" i="5"/>
  <c r="CK18" i="5"/>
  <c r="CK26" i="5"/>
  <c r="CK34" i="5"/>
  <c r="CK42" i="5"/>
  <c r="CK19" i="5"/>
  <c r="CK43" i="5"/>
  <c r="CL43" i="5" s="1"/>
  <c r="CK12" i="5"/>
  <c r="CK13" i="5"/>
  <c r="CK37" i="5"/>
  <c r="AI10" i="5"/>
  <c r="AJ10" i="5" s="1"/>
  <c r="AL10" i="5" s="1"/>
  <c r="AI11" i="5"/>
  <c r="AJ11" i="5" s="1"/>
  <c r="AL11" i="5" s="1"/>
  <c r="AI19" i="5"/>
  <c r="AJ19" i="5" s="1"/>
  <c r="AL19" i="5" s="1"/>
  <c r="AI27" i="5"/>
  <c r="AJ27" i="5" s="1"/>
  <c r="AL27" i="5" s="1"/>
  <c r="AI35" i="5"/>
  <c r="AJ35" i="5" s="1"/>
  <c r="AL35" i="5" s="1"/>
  <c r="AI43" i="5"/>
  <c r="AI12" i="5"/>
  <c r="AJ12" i="5" s="1"/>
  <c r="AL12" i="5" s="1"/>
  <c r="AI20" i="5"/>
  <c r="AJ20" i="5" s="1"/>
  <c r="AL20" i="5" s="1"/>
  <c r="AI28" i="5"/>
  <c r="AJ28" i="5" s="1"/>
  <c r="AL28" i="5" s="1"/>
  <c r="AI36" i="5"/>
  <c r="AJ36" i="5" s="1"/>
  <c r="AL36" i="5" s="1"/>
  <c r="AI13" i="5"/>
  <c r="AJ13" i="5" s="1"/>
  <c r="AL13" i="5" s="1"/>
  <c r="AI21" i="5"/>
  <c r="AJ21" i="5" s="1"/>
  <c r="AL21" i="5" s="1"/>
  <c r="AI29" i="5"/>
  <c r="AJ29" i="5" s="1"/>
  <c r="AL29" i="5" s="1"/>
  <c r="AI37" i="5"/>
  <c r="AJ37" i="5" s="1"/>
  <c r="AL37" i="5" s="1"/>
  <c r="AI24" i="5"/>
  <c r="AJ24" i="5" s="1"/>
  <c r="AL24" i="5" s="1"/>
  <c r="AI40" i="5"/>
  <c r="AJ40" i="5" s="1"/>
  <c r="AL40" i="5" s="1"/>
  <c r="AI14" i="5"/>
  <c r="AJ14" i="5" s="1"/>
  <c r="AL14" i="5" s="1"/>
  <c r="AI22" i="5"/>
  <c r="AJ22" i="5" s="1"/>
  <c r="AL22" i="5" s="1"/>
  <c r="AI30" i="5"/>
  <c r="AJ30" i="5" s="1"/>
  <c r="AL30" i="5" s="1"/>
  <c r="AI38" i="5"/>
  <c r="AJ38" i="5" s="1"/>
  <c r="AL38" i="5" s="1"/>
  <c r="AI16" i="5"/>
  <c r="AJ16" i="5" s="1"/>
  <c r="AL16" i="5" s="1"/>
  <c r="AI15" i="5"/>
  <c r="AJ15" i="5" s="1"/>
  <c r="AL15" i="5" s="1"/>
  <c r="AI23" i="5"/>
  <c r="AJ23" i="5" s="1"/>
  <c r="AL23" i="5" s="1"/>
  <c r="AI31" i="5"/>
  <c r="AJ31" i="5" s="1"/>
  <c r="AL31" i="5" s="1"/>
  <c r="AI39" i="5"/>
  <c r="AJ39" i="5" s="1"/>
  <c r="AL39" i="5" s="1"/>
  <c r="AI32" i="5"/>
  <c r="AJ32" i="5" s="1"/>
  <c r="AL32" i="5" s="1"/>
  <c r="AI17" i="5"/>
  <c r="AJ17" i="5" s="1"/>
  <c r="AL17" i="5" s="1"/>
  <c r="AI25" i="5"/>
  <c r="AJ25" i="5" s="1"/>
  <c r="AL25" i="5" s="1"/>
  <c r="AI33" i="5"/>
  <c r="AJ33" i="5" s="1"/>
  <c r="AL33" i="5" s="1"/>
  <c r="AI41" i="5"/>
  <c r="AJ41" i="5" s="1"/>
  <c r="AL41" i="5" s="1"/>
  <c r="AI18" i="5"/>
  <c r="AJ18" i="5" s="1"/>
  <c r="AL18" i="5" s="1"/>
  <c r="AI26" i="5"/>
  <c r="AJ26" i="5" s="1"/>
  <c r="AL26" i="5" s="1"/>
  <c r="AI34" i="5"/>
  <c r="AJ34" i="5" s="1"/>
  <c r="AL34" i="5" s="1"/>
  <c r="AI42" i="5"/>
  <c r="AJ42" i="5" s="1"/>
  <c r="AL42" i="5" s="1"/>
  <c r="Q16" i="5"/>
  <c r="R16" i="5" s="1"/>
  <c r="Q17" i="5"/>
  <c r="R17" i="5" s="1"/>
  <c r="Q18" i="5"/>
  <c r="R18" i="5" s="1"/>
  <c r="Q19" i="5"/>
  <c r="AC9" i="5"/>
  <c r="Z10" i="5"/>
  <c r="AA10" i="5" s="1"/>
  <c r="Z11" i="5"/>
  <c r="AA11" i="5" s="1"/>
  <c r="Z19" i="5"/>
  <c r="AA19" i="5" s="1"/>
  <c r="Z27" i="5"/>
  <c r="AA27" i="5" s="1"/>
  <c r="Z35" i="5"/>
  <c r="AA35" i="5" s="1"/>
  <c r="Z43" i="5"/>
  <c r="AA43" i="5" s="1"/>
  <c r="Z12" i="5"/>
  <c r="AA12" i="5" s="1"/>
  <c r="Z20" i="5"/>
  <c r="AA20" i="5" s="1"/>
  <c r="Z28" i="5"/>
  <c r="AA28" i="5" s="1"/>
  <c r="Z36" i="5"/>
  <c r="AA36" i="5" s="1"/>
  <c r="Z21" i="5"/>
  <c r="AA21" i="5" s="1"/>
  <c r="Z29" i="5"/>
  <c r="AA29" i="5" s="1"/>
  <c r="Z37" i="5"/>
  <c r="AA37" i="5" s="1"/>
  <c r="Z13" i="5"/>
  <c r="AA13" i="5" s="1"/>
  <c r="Z14" i="5"/>
  <c r="AA14" i="5" s="1"/>
  <c r="Z22" i="5"/>
  <c r="AA22" i="5" s="1"/>
  <c r="Z30" i="5"/>
  <c r="AA30" i="5" s="1"/>
  <c r="Z38" i="5"/>
  <c r="AA38" i="5" s="1"/>
  <c r="Z15" i="5"/>
  <c r="AA15" i="5" s="1"/>
  <c r="Z23" i="5"/>
  <c r="AA23" i="5" s="1"/>
  <c r="Z31" i="5"/>
  <c r="AA31" i="5" s="1"/>
  <c r="Z18" i="5"/>
  <c r="AA18" i="5" s="1"/>
  <c r="Z39" i="5"/>
  <c r="AA39" i="5" s="1"/>
  <c r="Z26" i="5"/>
  <c r="AA26" i="5" s="1"/>
  <c r="Z16" i="5"/>
  <c r="AA16" i="5" s="1"/>
  <c r="Z24" i="5"/>
  <c r="AA24" i="5" s="1"/>
  <c r="Z32" i="5"/>
  <c r="AA32" i="5" s="1"/>
  <c r="Z40" i="5"/>
  <c r="AA40" i="5" s="1"/>
  <c r="Z17" i="5"/>
  <c r="AA17" i="5" s="1"/>
  <c r="Z25" i="5"/>
  <c r="AA25" i="5" s="1"/>
  <c r="Z33" i="5"/>
  <c r="AA33" i="5" s="1"/>
  <c r="Z41" i="5"/>
  <c r="AA41" i="5" s="1"/>
  <c r="Z34" i="5"/>
  <c r="AA34" i="5" s="1"/>
  <c r="Z42" i="5"/>
  <c r="AA42" i="5" s="1"/>
  <c r="X16" i="5"/>
  <c r="W17" i="5"/>
  <c r="R9" i="5"/>
  <c r="T9" i="5" s="1"/>
  <c r="Q10" i="5"/>
  <c r="R10" i="5" s="1"/>
  <c r="Q11" i="5"/>
  <c r="R11" i="5" s="1"/>
  <c r="Q12" i="5"/>
  <c r="R12" i="5" s="1"/>
  <c r="Q13" i="5"/>
  <c r="R13" i="5" s="1"/>
  <c r="Q14" i="5"/>
  <c r="R14" i="5" s="1"/>
  <c r="Q15" i="5"/>
  <c r="R15" i="5" s="1"/>
  <c r="O14" i="5"/>
  <c r="N15" i="5"/>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7" i="1"/>
  <c r="L7" i="1"/>
  <c r="M7" i="1" s="1"/>
  <c r="CW85" i="5" l="1"/>
  <c r="CW50" i="5" s="1"/>
  <c r="CU50" i="5" s="1"/>
  <c r="CL85" i="5"/>
  <c r="CN85" i="5" s="1"/>
  <c r="CN50" i="5" s="1"/>
  <c r="CL50" i="5" s="1"/>
  <c r="CC85" i="5"/>
  <c r="CE85" i="5" s="1"/>
  <c r="CE50" i="5" s="1"/>
  <c r="CC50" i="5" s="1"/>
  <c r="BT85" i="5"/>
  <c r="BV85" i="5" s="1"/>
  <c r="BV50" i="5" s="1"/>
  <c r="BT50" i="5" s="1"/>
  <c r="BK85" i="5"/>
  <c r="BM85" i="5" s="1"/>
  <c r="BM50" i="5" s="1"/>
  <c r="BK50" i="5" s="1"/>
  <c r="BB85" i="5"/>
  <c r="BD85" i="5" s="1"/>
  <c r="BD50" i="5" s="1"/>
  <c r="BB50" i="5" s="1"/>
  <c r="AS85" i="5"/>
  <c r="AU85" i="5" s="1"/>
  <c r="AU50" i="5" s="1"/>
  <c r="AS50" i="5" s="1"/>
  <c r="AJ85" i="5"/>
  <c r="AL85" i="5" s="1"/>
  <c r="AL50" i="5" s="1"/>
  <c r="AJ50" i="5" s="1"/>
  <c r="AA85" i="5"/>
  <c r="AC85" i="5" s="1"/>
  <c r="AC50" i="5" s="1"/>
  <c r="AA50" i="5" s="1"/>
  <c r="R85" i="5"/>
  <c r="T85" i="5" s="1"/>
  <c r="T50" i="5" s="1"/>
  <c r="R50" i="5" s="1"/>
  <c r="CU43" i="5"/>
  <c r="CW43" i="5" s="1"/>
  <c r="CW8" i="5" s="1"/>
  <c r="CU8" i="5" s="1"/>
  <c r="AJ43" i="5"/>
  <c r="AL43" i="5" s="1"/>
  <c r="AL8" i="5" s="1"/>
  <c r="AJ8" i="5" s="1"/>
  <c r="CL42" i="5"/>
  <c r="CN42" i="5" s="1"/>
  <c r="CL38" i="5"/>
  <c r="CN38" i="5" s="1"/>
  <c r="CL34" i="5"/>
  <c r="CN34" i="5" s="1"/>
  <c r="CL30" i="5"/>
  <c r="CN30" i="5" s="1"/>
  <c r="CL26" i="5"/>
  <c r="CN26" i="5" s="1"/>
  <c r="CL22" i="5"/>
  <c r="CN22" i="5" s="1"/>
  <c r="CL18" i="5"/>
  <c r="CN18" i="5" s="1"/>
  <c r="CL14" i="5"/>
  <c r="CN14" i="5" s="1"/>
  <c r="CL10" i="5"/>
  <c r="CN10" i="5" s="1"/>
  <c r="CN43" i="5"/>
  <c r="CL39" i="5"/>
  <c r="CN39" i="5" s="1"/>
  <c r="CL35" i="5"/>
  <c r="CN35" i="5" s="1"/>
  <c r="CL31" i="5"/>
  <c r="CN31" i="5" s="1"/>
  <c r="CL27" i="5"/>
  <c r="CN27" i="5" s="1"/>
  <c r="CL23" i="5"/>
  <c r="CN23" i="5" s="1"/>
  <c r="CL19" i="5"/>
  <c r="CN19" i="5" s="1"/>
  <c r="CL15" i="5"/>
  <c r="CN15" i="5" s="1"/>
  <c r="CL11" i="5"/>
  <c r="CN11" i="5" s="1"/>
  <c r="CL40" i="5"/>
  <c r="CN40" i="5" s="1"/>
  <c r="CL36" i="5"/>
  <c r="CN36" i="5" s="1"/>
  <c r="CL32" i="5"/>
  <c r="CN32" i="5" s="1"/>
  <c r="CL28" i="5"/>
  <c r="CN28" i="5" s="1"/>
  <c r="CL24" i="5"/>
  <c r="CN24" i="5" s="1"/>
  <c r="CL20" i="5"/>
  <c r="CN20" i="5" s="1"/>
  <c r="CL16" i="5"/>
  <c r="CN16" i="5" s="1"/>
  <c r="CL12" i="5"/>
  <c r="CN12" i="5" s="1"/>
  <c r="CL41" i="5"/>
  <c r="CN41" i="5" s="1"/>
  <c r="CL37" i="5"/>
  <c r="CN37" i="5" s="1"/>
  <c r="CL33" i="5"/>
  <c r="CN33" i="5" s="1"/>
  <c r="CL29" i="5"/>
  <c r="CN29" i="5" s="1"/>
  <c r="CL25" i="5"/>
  <c r="CN25" i="5" s="1"/>
  <c r="CL21" i="5"/>
  <c r="CN21" i="5" s="1"/>
  <c r="CL17" i="5"/>
  <c r="CN17" i="5" s="1"/>
  <c r="CL13" i="5"/>
  <c r="CN13" i="5" s="1"/>
  <c r="CB10" i="5"/>
  <c r="CC10" i="5" s="1"/>
  <c r="CE10" i="5" s="1"/>
  <c r="CB11" i="5"/>
  <c r="CC11" i="5" s="1"/>
  <c r="CE11" i="5" s="1"/>
  <c r="CB19" i="5"/>
  <c r="CC19" i="5" s="1"/>
  <c r="CE19" i="5" s="1"/>
  <c r="CB27" i="5"/>
  <c r="CC27" i="5" s="1"/>
  <c r="CE27" i="5" s="1"/>
  <c r="CB35" i="5"/>
  <c r="CC35" i="5" s="1"/>
  <c r="CE35" i="5" s="1"/>
  <c r="CB43" i="5"/>
  <c r="CB34" i="5"/>
  <c r="CC34" i="5" s="1"/>
  <c r="CE34" i="5" s="1"/>
  <c r="CB12" i="5"/>
  <c r="CC12" i="5" s="1"/>
  <c r="CE12" i="5" s="1"/>
  <c r="CB20" i="5"/>
  <c r="CC20" i="5" s="1"/>
  <c r="CE20" i="5" s="1"/>
  <c r="CB28" i="5"/>
  <c r="CC28" i="5" s="1"/>
  <c r="CE28" i="5" s="1"/>
  <c r="CB36" i="5"/>
  <c r="CC36" i="5" s="1"/>
  <c r="CE36" i="5" s="1"/>
  <c r="CB18" i="5"/>
  <c r="CC18" i="5" s="1"/>
  <c r="CE18" i="5" s="1"/>
  <c r="CB13" i="5"/>
  <c r="CC13" i="5" s="1"/>
  <c r="CE13" i="5" s="1"/>
  <c r="CB21" i="5"/>
  <c r="CC21" i="5" s="1"/>
  <c r="CE21" i="5" s="1"/>
  <c r="CB29" i="5"/>
  <c r="CC29" i="5" s="1"/>
  <c r="CE29" i="5" s="1"/>
  <c r="CB37" i="5"/>
  <c r="CC37" i="5" s="1"/>
  <c r="CE37" i="5" s="1"/>
  <c r="CB26" i="5"/>
  <c r="CC26" i="5" s="1"/>
  <c r="CE26" i="5" s="1"/>
  <c r="CB14" i="5"/>
  <c r="CC14" i="5" s="1"/>
  <c r="CE14" i="5" s="1"/>
  <c r="CB22" i="5"/>
  <c r="CC22" i="5" s="1"/>
  <c r="CE22" i="5" s="1"/>
  <c r="CB30" i="5"/>
  <c r="CC30" i="5" s="1"/>
  <c r="CE30" i="5" s="1"/>
  <c r="CB38" i="5"/>
  <c r="CC38" i="5" s="1"/>
  <c r="CE38" i="5" s="1"/>
  <c r="CB41" i="5"/>
  <c r="CC41" i="5" s="1"/>
  <c r="CE41" i="5" s="1"/>
  <c r="CB42" i="5"/>
  <c r="CC42" i="5" s="1"/>
  <c r="CE42" i="5" s="1"/>
  <c r="CB15" i="5"/>
  <c r="CC15" i="5" s="1"/>
  <c r="CE15" i="5" s="1"/>
  <c r="CB23" i="5"/>
  <c r="CC23" i="5" s="1"/>
  <c r="CE23" i="5" s="1"/>
  <c r="CB31" i="5"/>
  <c r="CC31" i="5" s="1"/>
  <c r="CE31" i="5" s="1"/>
  <c r="CB39" i="5"/>
  <c r="CC39" i="5" s="1"/>
  <c r="CE39" i="5" s="1"/>
  <c r="CB33" i="5"/>
  <c r="CC33" i="5" s="1"/>
  <c r="CE33" i="5" s="1"/>
  <c r="CB16" i="5"/>
  <c r="CC16" i="5" s="1"/>
  <c r="CE16" i="5" s="1"/>
  <c r="CB24" i="5"/>
  <c r="CC24" i="5" s="1"/>
  <c r="CE24" i="5" s="1"/>
  <c r="CB32" i="5"/>
  <c r="CC32" i="5" s="1"/>
  <c r="CE32" i="5" s="1"/>
  <c r="CB40" i="5"/>
  <c r="CC40" i="5" s="1"/>
  <c r="CE40" i="5" s="1"/>
  <c r="CB25" i="5"/>
  <c r="CC25" i="5" s="1"/>
  <c r="CE25" i="5" s="1"/>
  <c r="CB17" i="5"/>
  <c r="CC17" i="5" s="1"/>
  <c r="CE17" i="5" s="1"/>
  <c r="BS10" i="5"/>
  <c r="BT10" i="5" s="1"/>
  <c r="BV10" i="5" s="1"/>
  <c r="BS11" i="5"/>
  <c r="BT11" i="5" s="1"/>
  <c r="BV11" i="5" s="1"/>
  <c r="BS19" i="5"/>
  <c r="BT19" i="5" s="1"/>
  <c r="BV19" i="5" s="1"/>
  <c r="BS27" i="5"/>
  <c r="BT27" i="5" s="1"/>
  <c r="BV27" i="5" s="1"/>
  <c r="BS35" i="5"/>
  <c r="BT35" i="5" s="1"/>
  <c r="BV35" i="5" s="1"/>
  <c r="BS43" i="5"/>
  <c r="BS12" i="5"/>
  <c r="BT12" i="5" s="1"/>
  <c r="BV12" i="5" s="1"/>
  <c r="BS20" i="5"/>
  <c r="BT20" i="5" s="1"/>
  <c r="BV20" i="5" s="1"/>
  <c r="BS37" i="5"/>
  <c r="BT37" i="5" s="1"/>
  <c r="BV37" i="5" s="1"/>
  <c r="BS14" i="5"/>
  <c r="BT14" i="5" s="1"/>
  <c r="BV14" i="5" s="1"/>
  <c r="BS22" i="5"/>
  <c r="BT22" i="5" s="1"/>
  <c r="BV22" i="5" s="1"/>
  <c r="BS30" i="5"/>
  <c r="BT30" i="5" s="1"/>
  <c r="BV30" i="5" s="1"/>
  <c r="BS38" i="5"/>
  <c r="BT38" i="5" s="1"/>
  <c r="BV38" i="5" s="1"/>
  <c r="BS34" i="5"/>
  <c r="BT34" i="5" s="1"/>
  <c r="BV34" i="5" s="1"/>
  <c r="BS36" i="5"/>
  <c r="BT36" i="5" s="1"/>
  <c r="BV36" i="5" s="1"/>
  <c r="BS15" i="5"/>
  <c r="BT15" i="5" s="1"/>
  <c r="BV15" i="5" s="1"/>
  <c r="BS23" i="5"/>
  <c r="BT23" i="5" s="1"/>
  <c r="BV23" i="5" s="1"/>
  <c r="BS31" i="5"/>
  <c r="BT31" i="5" s="1"/>
  <c r="BV31" i="5" s="1"/>
  <c r="BS39" i="5"/>
  <c r="BT39" i="5" s="1"/>
  <c r="BV39" i="5" s="1"/>
  <c r="BS42" i="5"/>
  <c r="BT42" i="5" s="1"/>
  <c r="BV42" i="5" s="1"/>
  <c r="BS13" i="5"/>
  <c r="BT13" i="5" s="1"/>
  <c r="BV13" i="5" s="1"/>
  <c r="BS16" i="5"/>
  <c r="BT16" i="5" s="1"/>
  <c r="BV16" i="5" s="1"/>
  <c r="BS24" i="5"/>
  <c r="BT24" i="5" s="1"/>
  <c r="BV24" i="5" s="1"/>
  <c r="BS32" i="5"/>
  <c r="BT32" i="5" s="1"/>
  <c r="BV32" i="5" s="1"/>
  <c r="BS40" i="5"/>
  <c r="BT40" i="5" s="1"/>
  <c r="BV40" i="5" s="1"/>
  <c r="BS26" i="5"/>
  <c r="BT26" i="5" s="1"/>
  <c r="BV26" i="5" s="1"/>
  <c r="BS21" i="5"/>
  <c r="BT21" i="5" s="1"/>
  <c r="BV21" i="5" s="1"/>
  <c r="BS17" i="5"/>
  <c r="BT17" i="5" s="1"/>
  <c r="BV17" i="5" s="1"/>
  <c r="BS25" i="5"/>
  <c r="BT25" i="5" s="1"/>
  <c r="BV25" i="5" s="1"/>
  <c r="BS33" i="5"/>
  <c r="BT33" i="5" s="1"/>
  <c r="BV33" i="5" s="1"/>
  <c r="BS41" i="5"/>
  <c r="BT41" i="5" s="1"/>
  <c r="BV41" i="5" s="1"/>
  <c r="BS18" i="5"/>
  <c r="BT18" i="5" s="1"/>
  <c r="BV18" i="5" s="1"/>
  <c r="BS28" i="5"/>
  <c r="BT28" i="5" s="1"/>
  <c r="BV28" i="5" s="1"/>
  <c r="BS29" i="5"/>
  <c r="BT29" i="5" s="1"/>
  <c r="BV29" i="5" s="1"/>
  <c r="BJ10" i="5"/>
  <c r="BK10" i="5" s="1"/>
  <c r="BM10" i="5" s="1"/>
  <c r="BJ11" i="5"/>
  <c r="BK11" i="5" s="1"/>
  <c r="BM11" i="5" s="1"/>
  <c r="BJ12" i="5"/>
  <c r="BK12" i="5" s="1"/>
  <c r="BM12" i="5" s="1"/>
  <c r="BJ20" i="5"/>
  <c r="BK20" i="5" s="1"/>
  <c r="BM20" i="5" s="1"/>
  <c r="BJ28" i="5"/>
  <c r="BK28" i="5" s="1"/>
  <c r="BM28" i="5" s="1"/>
  <c r="BJ36" i="5"/>
  <c r="BK36" i="5" s="1"/>
  <c r="BM36" i="5" s="1"/>
  <c r="BJ13" i="5"/>
  <c r="BK13" i="5" s="1"/>
  <c r="BM13" i="5" s="1"/>
  <c r="BJ21" i="5"/>
  <c r="BK21" i="5" s="1"/>
  <c r="BM21" i="5" s="1"/>
  <c r="BJ29" i="5"/>
  <c r="BK29" i="5" s="1"/>
  <c r="BM29" i="5" s="1"/>
  <c r="BJ37" i="5"/>
  <c r="BK37" i="5" s="1"/>
  <c r="BM37" i="5" s="1"/>
  <c r="BJ14" i="5"/>
  <c r="BK14" i="5" s="1"/>
  <c r="BM14" i="5" s="1"/>
  <c r="BJ22" i="5"/>
  <c r="BK22" i="5" s="1"/>
  <c r="BM22" i="5" s="1"/>
  <c r="BJ30" i="5"/>
  <c r="BK30" i="5" s="1"/>
  <c r="BM30" i="5" s="1"/>
  <c r="BJ38" i="5"/>
  <c r="BK38" i="5" s="1"/>
  <c r="BM38" i="5" s="1"/>
  <c r="BJ42" i="5"/>
  <c r="BK42" i="5" s="1"/>
  <c r="BM42" i="5" s="1"/>
  <c r="BJ35" i="5"/>
  <c r="BK35" i="5" s="1"/>
  <c r="BM35" i="5" s="1"/>
  <c r="BJ15" i="5"/>
  <c r="BK15" i="5" s="1"/>
  <c r="BM15" i="5" s="1"/>
  <c r="BJ23" i="5"/>
  <c r="BK23" i="5" s="1"/>
  <c r="BM23" i="5" s="1"/>
  <c r="BJ31" i="5"/>
  <c r="BK31" i="5" s="1"/>
  <c r="BM31" i="5" s="1"/>
  <c r="BJ39" i="5"/>
  <c r="BK39" i="5" s="1"/>
  <c r="BM39" i="5" s="1"/>
  <c r="BJ18" i="5"/>
  <c r="BK18" i="5" s="1"/>
  <c r="BM18" i="5" s="1"/>
  <c r="BJ27" i="5"/>
  <c r="BK27" i="5" s="1"/>
  <c r="BM27" i="5" s="1"/>
  <c r="BJ16" i="5"/>
  <c r="BK16" i="5" s="1"/>
  <c r="BM16" i="5" s="1"/>
  <c r="BJ24" i="5"/>
  <c r="BK24" i="5" s="1"/>
  <c r="BM24" i="5" s="1"/>
  <c r="BJ32" i="5"/>
  <c r="BK32" i="5" s="1"/>
  <c r="BM32" i="5" s="1"/>
  <c r="BJ40" i="5"/>
  <c r="BK40" i="5" s="1"/>
  <c r="BM40" i="5" s="1"/>
  <c r="BJ26" i="5"/>
  <c r="BK26" i="5" s="1"/>
  <c r="BM26" i="5" s="1"/>
  <c r="BJ19" i="5"/>
  <c r="BK19" i="5" s="1"/>
  <c r="BM19" i="5" s="1"/>
  <c r="BJ17" i="5"/>
  <c r="BK17" i="5" s="1"/>
  <c r="BM17" i="5" s="1"/>
  <c r="BJ25" i="5"/>
  <c r="BK25" i="5" s="1"/>
  <c r="BM25" i="5" s="1"/>
  <c r="BJ33" i="5"/>
  <c r="BK33" i="5" s="1"/>
  <c r="BM33" i="5" s="1"/>
  <c r="BJ41" i="5"/>
  <c r="BK41" i="5" s="1"/>
  <c r="BM41" i="5" s="1"/>
  <c r="BJ34" i="5"/>
  <c r="BK34" i="5" s="1"/>
  <c r="BM34" i="5" s="1"/>
  <c r="BJ43" i="5"/>
  <c r="BA10" i="5"/>
  <c r="BB10" i="5" s="1"/>
  <c r="BD10" i="5" s="1"/>
  <c r="BA43" i="5"/>
  <c r="BA35" i="5"/>
  <c r="BB35" i="5" s="1"/>
  <c r="BD35" i="5" s="1"/>
  <c r="BA27" i="5"/>
  <c r="BB27" i="5" s="1"/>
  <c r="BD27" i="5" s="1"/>
  <c r="BA19" i="5"/>
  <c r="BB19" i="5" s="1"/>
  <c r="BD19" i="5" s="1"/>
  <c r="BA11" i="5"/>
  <c r="BB11" i="5" s="1"/>
  <c r="BD11" i="5" s="1"/>
  <c r="BA42" i="5"/>
  <c r="BB42" i="5" s="1"/>
  <c r="BD42" i="5" s="1"/>
  <c r="BA34" i="5"/>
  <c r="BB34" i="5" s="1"/>
  <c r="BD34" i="5" s="1"/>
  <c r="BA26" i="5"/>
  <c r="BB26" i="5" s="1"/>
  <c r="BD26" i="5" s="1"/>
  <c r="BA18" i="5"/>
  <c r="BB18" i="5" s="1"/>
  <c r="BD18" i="5" s="1"/>
  <c r="BA41" i="5"/>
  <c r="BB41" i="5" s="1"/>
  <c r="BD41" i="5" s="1"/>
  <c r="BA33" i="5"/>
  <c r="BB33" i="5" s="1"/>
  <c r="BD33" i="5" s="1"/>
  <c r="BA25" i="5"/>
  <c r="BB25" i="5" s="1"/>
  <c r="BD25" i="5" s="1"/>
  <c r="BA17" i="5"/>
  <c r="BB17" i="5" s="1"/>
  <c r="BD17" i="5" s="1"/>
  <c r="BA40" i="5"/>
  <c r="BB40" i="5" s="1"/>
  <c r="BD40" i="5" s="1"/>
  <c r="BA32" i="5"/>
  <c r="BB32" i="5" s="1"/>
  <c r="BD32" i="5" s="1"/>
  <c r="BA24" i="5"/>
  <c r="BB24" i="5" s="1"/>
  <c r="BD24" i="5" s="1"/>
  <c r="BA16" i="5"/>
  <c r="BB16" i="5" s="1"/>
  <c r="BD16" i="5" s="1"/>
  <c r="BA20" i="5"/>
  <c r="BB20" i="5" s="1"/>
  <c r="BD20" i="5" s="1"/>
  <c r="BA39" i="5"/>
  <c r="BB39" i="5" s="1"/>
  <c r="BD39" i="5" s="1"/>
  <c r="BA31" i="5"/>
  <c r="BB31" i="5" s="1"/>
  <c r="BD31" i="5" s="1"/>
  <c r="BA23" i="5"/>
  <c r="BB23" i="5" s="1"/>
  <c r="BD23" i="5" s="1"/>
  <c r="BA15" i="5"/>
  <c r="BB15" i="5" s="1"/>
  <c r="BD15" i="5" s="1"/>
  <c r="BA12" i="5"/>
  <c r="BB12" i="5" s="1"/>
  <c r="BD12" i="5" s="1"/>
  <c r="BA38" i="5"/>
  <c r="BB38" i="5" s="1"/>
  <c r="BD38" i="5" s="1"/>
  <c r="BA30" i="5"/>
  <c r="BB30" i="5" s="1"/>
  <c r="BD30" i="5" s="1"/>
  <c r="BA22" i="5"/>
  <c r="BB22" i="5" s="1"/>
  <c r="BD22" i="5" s="1"/>
  <c r="BA14" i="5"/>
  <c r="BB14" i="5" s="1"/>
  <c r="BD14" i="5" s="1"/>
  <c r="BA28" i="5"/>
  <c r="BB28" i="5" s="1"/>
  <c r="BD28" i="5" s="1"/>
  <c r="BA37" i="5"/>
  <c r="BB37" i="5" s="1"/>
  <c r="BD37" i="5" s="1"/>
  <c r="BA29" i="5"/>
  <c r="BB29" i="5" s="1"/>
  <c r="BD29" i="5" s="1"/>
  <c r="BA21" i="5"/>
  <c r="BB21" i="5" s="1"/>
  <c r="BD21" i="5" s="1"/>
  <c r="BA13" i="5"/>
  <c r="BB13" i="5" s="1"/>
  <c r="BD13" i="5" s="1"/>
  <c r="BA36" i="5"/>
  <c r="BB36" i="5" s="1"/>
  <c r="BD36" i="5" s="1"/>
  <c r="AR10" i="5"/>
  <c r="AS10" i="5" s="1"/>
  <c r="AU10" i="5" s="1"/>
  <c r="AR11" i="5"/>
  <c r="AS11" i="5" s="1"/>
  <c r="AU11" i="5" s="1"/>
  <c r="AR19" i="5"/>
  <c r="AS19" i="5" s="1"/>
  <c r="AU19" i="5" s="1"/>
  <c r="AR27" i="5"/>
  <c r="AS27" i="5" s="1"/>
  <c r="AU27" i="5" s="1"/>
  <c r="AR35" i="5"/>
  <c r="AS35" i="5" s="1"/>
  <c r="AU35" i="5" s="1"/>
  <c r="AR43" i="5"/>
  <c r="AR12" i="5"/>
  <c r="AS12" i="5" s="1"/>
  <c r="AU12" i="5" s="1"/>
  <c r="AR20" i="5"/>
  <c r="AS20" i="5" s="1"/>
  <c r="AU20" i="5" s="1"/>
  <c r="AR28" i="5"/>
  <c r="AS28" i="5" s="1"/>
  <c r="AU28" i="5" s="1"/>
  <c r="AR36" i="5"/>
  <c r="AS36" i="5" s="1"/>
  <c r="AU36" i="5" s="1"/>
  <c r="AR13" i="5"/>
  <c r="AS13" i="5" s="1"/>
  <c r="AU13" i="5" s="1"/>
  <c r="AR21" i="5"/>
  <c r="AS21" i="5" s="1"/>
  <c r="AU21" i="5" s="1"/>
  <c r="AR29" i="5"/>
  <c r="AS29" i="5" s="1"/>
  <c r="AU29" i="5" s="1"/>
  <c r="AR37" i="5"/>
  <c r="AS37" i="5" s="1"/>
  <c r="AU37" i="5" s="1"/>
  <c r="AR14" i="5"/>
  <c r="AS14" i="5" s="1"/>
  <c r="AU14" i="5" s="1"/>
  <c r="AR22" i="5"/>
  <c r="AS22" i="5" s="1"/>
  <c r="AU22" i="5" s="1"/>
  <c r="AR30" i="5"/>
  <c r="AS30" i="5" s="1"/>
  <c r="AU30" i="5" s="1"/>
  <c r="AR38" i="5"/>
  <c r="AS38" i="5" s="1"/>
  <c r="AU38" i="5" s="1"/>
  <c r="AR42" i="5"/>
  <c r="AS42" i="5" s="1"/>
  <c r="AU42" i="5" s="1"/>
  <c r="AR15" i="5"/>
  <c r="AS15" i="5" s="1"/>
  <c r="AU15" i="5" s="1"/>
  <c r="AR23" i="5"/>
  <c r="AS23" i="5" s="1"/>
  <c r="AU23" i="5" s="1"/>
  <c r="AR31" i="5"/>
  <c r="AS31" i="5" s="1"/>
  <c r="AU31" i="5" s="1"/>
  <c r="AR39" i="5"/>
  <c r="AS39" i="5" s="1"/>
  <c r="AU39" i="5" s="1"/>
  <c r="AR34" i="5"/>
  <c r="AS34" i="5" s="1"/>
  <c r="AU34" i="5" s="1"/>
  <c r="AR16" i="5"/>
  <c r="AS16" i="5" s="1"/>
  <c r="AU16" i="5" s="1"/>
  <c r="AR24" i="5"/>
  <c r="AS24" i="5" s="1"/>
  <c r="AU24" i="5" s="1"/>
  <c r="AR32" i="5"/>
  <c r="AS32" i="5" s="1"/>
  <c r="AU32" i="5" s="1"/>
  <c r="AR40" i="5"/>
  <c r="AS40" i="5" s="1"/>
  <c r="AU40" i="5" s="1"/>
  <c r="AR26" i="5"/>
  <c r="AS26" i="5" s="1"/>
  <c r="AU26" i="5" s="1"/>
  <c r="AR17" i="5"/>
  <c r="AS17" i="5" s="1"/>
  <c r="AU17" i="5" s="1"/>
  <c r="AR25" i="5"/>
  <c r="AS25" i="5" s="1"/>
  <c r="AU25" i="5" s="1"/>
  <c r="AR33" i="5"/>
  <c r="AS33" i="5" s="1"/>
  <c r="AU33" i="5" s="1"/>
  <c r="AR41" i="5"/>
  <c r="AS41" i="5" s="1"/>
  <c r="AU41" i="5" s="1"/>
  <c r="AR18" i="5"/>
  <c r="AS18" i="5" s="1"/>
  <c r="AU18" i="5" s="1"/>
  <c r="AC31" i="5"/>
  <c r="T10" i="5"/>
  <c r="AC23" i="5"/>
  <c r="AC15" i="5"/>
  <c r="AC39" i="5"/>
  <c r="AC16" i="5"/>
  <c r="AC24" i="5"/>
  <c r="AC32" i="5"/>
  <c r="AC40" i="5"/>
  <c r="AC14" i="5"/>
  <c r="AC22" i="5"/>
  <c r="AC30" i="5"/>
  <c r="AC38" i="5"/>
  <c r="AC21" i="5"/>
  <c r="AC29" i="5"/>
  <c r="AC37" i="5"/>
  <c r="AC13" i="5"/>
  <c r="AC19" i="5"/>
  <c r="AC27" i="5"/>
  <c r="AC43" i="5"/>
  <c r="AC11" i="5"/>
  <c r="AC35" i="5"/>
  <c r="AC12" i="5"/>
  <c r="AC20" i="5"/>
  <c r="AC28" i="5"/>
  <c r="AC36" i="5"/>
  <c r="AC17" i="5"/>
  <c r="AC25" i="5"/>
  <c r="AC33" i="5"/>
  <c r="AC41" i="5"/>
  <c r="X17" i="5"/>
  <c r="W18" i="5"/>
  <c r="AC10" i="5"/>
  <c r="AC18" i="5"/>
  <c r="AC26" i="5"/>
  <c r="AC34" i="5"/>
  <c r="AC42" i="5"/>
  <c r="T11" i="5"/>
  <c r="T17" i="5"/>
  <c r="T14" i="5"/>
  <c r="T12" i="5"/>
  <c r="T15" i="5"/>
  <c r="T16" i="5"/>
  <c r="R19" i="5"/>
  <c r="T18" i="5"/>
  <c r="N16" i="5"/>
  <c r="O15" i="5"/>
  <c r="T13" i="5"/>
  <c r="N9" i="1"/>
  <c r="N10" i="1" s="1"/>
  <c r="S8" i="1"/>
  <c r="L8" i="1"/>
  <c r="CC43" i="5" l="1"/>
  <c r="CE43" i="5" s="1"/>
  <c r="CE8" i="5" s="1"/>
  <c r="CC8" i="5" s="1"/>
  <c r="BT43" i="5"/>
  <c r="BV43" i="5" s="1"/>
  <c r="BV8" i="5" s="1"/>
  <c r="BT8" i="5" s="1"/>
  <c r="BK43" i="5"/>
  <c r="BM43" i="5" s="1"/>
  <c r="BM8" i="5" s="1"/>
  <c r="BK8" i="5" s="1"/>
  <c r="BB43" i="5"/>
  <c r="BD43" i="5" s="1"/>
  <c r="BD8" i="5" s="1"/>
  <c r="BB8" i="5" s="1"/>
  <c r="AS43" i="5"/>
  <c r="AU43" i="5" s="1"/>
  <c r="AU8" i="5" s="1"/>
  <c r="AS8" i="5" s="1"/>
  <c r="I37" i="5"/>
  <c r="CQ86" i="5"/>
  <c r="I36" i="5"/>
  <c r="CH86" i="5"/>
  <c r="I35" i="5"/>
  <c r="BY86" i="5"/>
  <c r="I34" i="5"/>
  <c r="BP86" i="5"/>
  <c r="I33" i="5"/>
  <c r="BG86" i="5"/>
  <c r="I32" i="5"/>
  <c r="AX86" i="5"/>
  <c r="I31" i="5"/>
  <c r="AO86" i="5"/>
  <c r="I30" i="5"/>
  <c r="AF86" i="5"/>
  <c r="I29" i="5"/>
  <c r="W86" i="5"/>
  <c r="I28" i="5"/>
  <c r="N86" i="5"/>
  <c r="I27" i="5"/>
  <c r="CQ44" i="5"/>
  <c r="I20" i="5"/>
  <c r="AF44" i="5"/>
  <c r="CN8" i="5"/>
  <c r="CL8" i="5" s="1"/>
  <c r="AC8" i="5"/>
  <c r="AA8" i="5" s="1"/>
  <c r="N11" i="1"/>
  <c r="P10" i="1"/>
  <c r="Q10" i="1" s="1"/>
  <c r="S10" i="1" s="1"/>
  <c r="P9" i="1"/>
  <c r="Q9" i="1" s="1"/>
  <c r="S9" i="1" s="1"/>
  <c r="X18" i="5"/>
  <c r="W19" i="5"/>
  <c r="O16" i="5"/>
  <c r="N17" i="5"/>
  <c r="Q20" i="5"/>
  <c r="R20" i="5" s="1"/>
  <c r="T19" i="5"/>
  <c r="M8" i="1"/>
  <c r="L9" i="1"/>
  <c r="I26" i="5" l="1"/>
  <c r="CH44" i="5"/>
  <c r="I25" i="5"/>
  <c r="BY44" i="5"/>
  <c r="I24" i="5"/>
  <c r="BP44" i="5"/>
  <c r="I23" i="5"/>
  <c r="BG44" i="5"/>
  <c r="I22" i="5"/>
  <c r="AX44" i="5"/>
  <c r="I21" i="5"/>
  <c r="AO44" i="5"/>
  <c r="I19" i="5"/>
  <c r="W44" i="5"/>
  <c r="N12" i="1"/>
  <c r="P11" i="1"/>
  <c r="Q11" i="1" s="1"/>
  <c r="S11" i="1" s="1"/>
  <c r="X19" i="5"/>
  <c r="W20" i="5"/>
  <c r="T20" i="5"/>
  <c r="Q21" i="5"/>
  <c r="R21" i="5" s="1"/>
  <c r="O17" i="5"/>
  <c r="N18" i="5"/>
  <c r="L10" i="1"/>
  <c r="M9" i="1"/>
  <c r="P12" i="1" l="1"/>
  <c r="Q12" i="1" s="1"/>
  <c r="S12" i="1" s="1"/>
  <c r="N13" i="1"/>
  <c r="X20" i="5"/>
  <c r="W21" i="5"/>
  <c r="O18" i="5"/>
  <c r="N19" i="5"/>
  <c r="T21" i="5"/>
  <c r="Q22" i="5"/>
  <c r="R22" i="5" s="1"/>
  <c r="L11" i="1"/>
  <c r="M10" i="1"/>
  <c r="P13" i="1" l="1"/>
  <c r="Q13" i="1" s="1"/>
  <c r="S13" i="1" s="1"/>
  <c r="N14" i="1"/>
  <c r="X21" i="5"/>
  <c r="W22" i="5"/>
  <c r="T22" i="5"/>
  <c r="Q23" i="5"/>
  <c r="R23" i="5" s="1"/>
  <c r="O19" i="5"/>
  <c r="N20" i="5"/>
  <c r="L12" i="1"/>
  <c r="M11" i="1"/>
  <c r="P14" i="1" l="1"/>
  <c r="Q14" i="1" s="1"/>
  <c r="S14" i="1" s="1"/>
  <c r="N15" i="1"/>
  <c r="X22" i="5"/>
  <c r="W23" i="5"/>
  <c r="O20" i="5"/>
  <c r="N21" i="5"/>
  <c r="Q24" i="5"/>
  <c r="R24" i="5" s="1"/>
  <c r="T23" i="5"/>
  <c r="L13" i="1"/>
  <c r="M12" i="1"/>
  <c r="P15" i="1" l="1"/>
  <c r="Q15" i="1" s="1"/>
  <c r="S15" i="1" s="1"/>
  <c r="N16" i="1"/>
  <c r="X23" i="5"/>
  <c r="W24" i="5"/>
  <c r="Q25" i="5"/>
  <c r="R25" i="5" s="1"/>
  <c r="T24" i="5"/>
  <c r="O21" i="5"/>
  <c r="N22" i="5"/>
  <c r="M13" i="1"/>
  <c r="L14" i="1"/>
  <c r="P16" i="1" l="1"/>
  <c r="Q16" i="1" s="1"/>
  <c r="S16" i="1" s="1"/>
  <c r="N17" i="1"/>
  <c r="X24" i="5"/>
  <c r="W25" i="5"/>
  <c r="O22" i="5"/>
  <c r="N23" i="5"/>
  <c r="Q26" i="5"/>
  <c r="R26" i="5" s="1"/>
  <c r="T25" i="5"/>
  <c r="L15" i="1"/>
  <c r="M14" i="1"/>
  <c r="P17" i="1" l="1"/>
  <c r="Q17" i="1" s="1"/>
  <c r="S17" i="1" s="1"/>
  <c r="N18" i="1"/>
  <c r="X25" i="5"/>
  <c r="W26" i="5"/>
  <c r="Q27" i="5"/>
  <c r="R27" i="5" s="1"/>
  <c r="T26" i="5"/>
  <c r="O23" i="5"/>
  <c r="N24" i="5"/>
  <c r="L16" i="1"/>
  <c r="M15" i="1"/>
  <c r="P18" i="1" l="1"/>
  <c r="Q18" i="1" s="1"/>
  <c r="S18" i="1" s="1"/>
  <c r="N19" i="1"/>
  <c r="X26" i="5"/>
  <c r="W27" i="5"/>
  <c r="N25" i="5"/>
  <c r="O24" i="5"/>
  <c r="Q28" i="5"/>
  <c r="R28" i="5" s="1"/>
  <c r="T27" i="5"/>
  <c r="L17" i="1"/>
  <c r="M16" i="1"/>
  <c r="P19" i="1" l="1"/>
  <c r="Q19" i="1" s="1"/>
  <c r="S19" i="1" s="1"/>
  <c r="N20" i="1"/>
  <c r="X27" i="5"/>
  <c r="W28" i="5"/>
  <c r="O25" i="5"/>
  <c r="N26" i="5"/>
  <c r="Q29" i="5"/>
  <c r="R29" i="5" s="1"/>
  <c r="T28" i="5"/>
  <c r="L18" i="1"/>
  <c r="M17" i="1"/>
  <c r="P20" i="1" l="1"/>
  <c r="Q20" i="1" s="1"/>
  <c r="S20" i="1" s="1"/>
  <c r="N21" i="1"/>
  <c r="X28" i="5"/>
  <c r="W29" i="5"/>
  <c r="Q30" i="5"/>
  <c r="R30" i="5" s="1"/>
  <c r="T29" i="5"/>
  <c r="O26" i="5"/>
  <c r="N27" i="5"/>
  <c r="L19" i="1"/>
  <c r="M18" i="1"/>
  <c r="P21" i="1" l="1"/>
  <c r="Q21" i="1" s="1"/>
  <c r="S21" i="1" s="1"/>
  <c r="N22" i="1"/>
  <c r="X29" i="5"/>
  <c r="W30" i="5"/>
  <c r="O27" i="5"/>
  <c r="N28" i="5"/>
  <c r="T30" i="5"/>
  <c r="Q31" i="5"/>
  <c r="R31" i="5" s="1"/>
  <c r="L20" i="1"/>
  <c r="M19" i="1"/>
  <c r="P22" i="1" l="1"/>
  <c r="Q22" i="1" s="1"/>
  <c r="S22" i="1" s="1"/>
  <c r="N23" i="1"/>
  <c r="X30" i="5"/>
  <c r="W31" i="5"/>
  <c r="Q32" i="5"/>
  <c r="R32" i="5" s="1"/>
  <c r="T31" i="5"/>
  <c r="O28" i="5"/>
  <c r="N29" i="5"/>
  <c r="L21" i="1"/>
  <c r="M20" i="1"/>
  <c r="P23" i="1" l="1"/>
  <c r="Q23" i="1" s="1"/>
  <c r="S23" i="1" s="1"/>
  <c r="N24" i="1"/>
  <c r="X31" i="5"/>
  <c r="W32" i="5"/>
  <c r="O29" i="5"/>
  <c r="N30" i="5"/>
  <c r="Q33" i="5"/>
  <c r="R33" i="5" s="1"/>
  <c r="T32" i="5"/>
  <c r="L22" i="1"/>
  <c r="M21" i="1"/>
  <c r="P24" i="1" l="1"/>
  <c r="Q24" i="1" s="1"/>
  <c r="S24" i="1" s="1"/>
  <c r="N25" i="1"/>
  <c r="X32" i="5"/>
  <c r="W33" i="5"/>
  <c r="Q34" i="5"/>
  <c r="R34" i="5" s="1"/>
  <c r="T33" i="5"/>
  <c r="O30" i="5"/>
  <c r="N31" i="5"/>
  <c r="L23" i="1"/>
  <c r="M22" i="1"/>
  <c r="P25" i="1" l="1"/>
  <c r="Q25" i="1" s="1"/>
  <c r="S25" i="1" s="1"/>
  <c r="N26" i="1"/>
  <c r="X33" i="5"/>
  <c r="W34" i="5"/>
  <c r="O31" i="5"/>
  <c r="N32" i="5"/>
  <c r="Q35" i="5"/>
  <c r="R35" i="5" s="1"/>
  <c r="T34" i="5"/>
  <c r="L24" i="1"/>
  <c r="M23" i="1"/>
  <c r="P26" i="1" l="1"/>
  <c r="Q26" i="1" s="1"/>
  <c r="S26" i="1" s="1"/>
  <c r="N27" i="1"/>
  <c r="X34" i="5"/>
  <c r="W35" i="5"/>
  <c r="Q36" i="5"/>
  <c r="R36" i="5" s="1"/>
  <c r="T35" i="5"/>
  <c r="O32" i="5"/>
  <c r="N33" i="5"/>
  <c r="L25" i="1"/>
  <c r="M24" i="1"/>
  <c r="P27" i="1" l="1"/>
  <c r="Q27" i="1" s="1"/>
  <c r="S27" i="1" s="1"/>
  <c r="N28" i="1"/>
  <c r="X35" i="5"/>
  <c r="W36" i="5"/>
  <c r="O33" i="5"/>
  <c r="N34" i="5"/>
  <c r="T36" i="5"/>
  <c r="Q37" i="5"/>
  <c r="R37" i="5" s="1"/>
  <c r="L26" i="1"/>
  <c r="M25" i="1"/>
  <c r="P28" i="1" l="1"/>
  <c r="Q28" i="1" s="1"/>
  <c r="S28" i="1" s="1"/>
  <c r="N29" i="1"/>
  <c r="X36" i="5"/>
  <c r="W37" i="5"/>
  <c r="Q38" i="5"/>
  <c r="R38" i="5" s="1"/>
  <c r="T37" i="5"/>
  <c r="O34" i="5"/>
  <c r="N35" i="5"/>
  <c r="L27" i="1"/>
  <c r="M26" i="1"/>
  <c r="P29" i="1" l="1"/>
  <c r="Q29" i="1" s="1"/>
  <c r="S29" i="1" s="1"/>
  <c r="N30" i="1"/>
  <c r="X37" i="5"/>
  <c r="W38" i="5"/>
  <c r="O35" i="5"/>
  <c r="N36" i="5"/>
  <c r="T38" i="5"/>
  <c r="Q39" i="5"/>
  <c r="R39" i="5" s="1"/>
  <c r="L28" i="1"/>
  <c r="M27" i="1"/>
  <c r="P30" i="1" l="1"/>
  <c r="Q30" i="1" s="1"/>
  <c r="S30" i="1" s="1"/>
  <c r="N31" i="1"/>
  <c r="X38" i="5"/>
  <c r="W39" i="5"/>
  <c r="Q40" i="5"/>
  <c r="R40" i="5" s="1"/>
  <c r="T39" i="5"/>
  <c r="O36" i="5"/>
  <c r="N37" i="5"/>
  <c r="L29" i="1"/>
  <c r="M28" i="1"/>
  <c r="P31" i="1" l="1"/>
  <c r="Q31" i="1" s="1"/>
  <c r="S31" i="1" s="1"/>
  <c r="N32" i="1"/>
  <c r="X39" i="5"/>
  <c r="W40" i="5"/>
  <c r="O37" i="5"/>
  <c r="N38" i="5"/>
  <c r="Q41" i="5"/>
  <c r="R41" i="5" s="1"/>
  <c r="T40" i="5"/>
  <c r="L30" i="1"/>
  <c r="M29" i="1"/>
  <c r="P32" i="1" l="1"/>
  <c r="Q32" i="1" s="1"/>
  <c r="S32" i="1" s="1"/>
  <c r="N33" i="1"/>
  <c r="X40" i="5"/>
  <c r="W41" i="5"/>
  <c r="Q42" i="5"/>
  <c r="R42" i="5" s="1"/>
  <c r="T41" i="5"/>
  <c r="O38" i="5"/>
  <c r="N39" i="5"/>
  <c r="L31" i="1"/>
  <c r="M30" i="1"/>
  <c r="P33" i="1" l="1"/>
  <c r="Q33" i="1" s="1"/>
  <c r="S33" i="1" s="1"/>
  <c r="N34" i="1"/>
  <c r="X41" i="5"/>
  <c r="W42" i="5"/>
  <c r="T42" i="5"/>
  <c r="N40" i="5"/>
  <c r="O39" i="5"/>
  <c r="L32" i="1"/>
  <c r="M31" i="1"/>
  <c r="P34" i="1" l="1"/>
  <c r="Q34" i="1" s="1"/>
  <c r="S34" i="1" s="1"/>
  <c r="N35" i="1"/>
  <c r="Q43" i="5"/>
  <c r="R43" i="5" s="1"/>
  <c r="X42" i="5"/>
  <c r="W43" i="5"/>
  <c r="X43" i="5" s="1"/>
  <c r="O40" i="5"/>
  <c r="N41" i="5"/>
  <c r="L33" i="1"/>
  <c r="M32" i="1"/>
  <c r="T43" i="5" l="1"/>
  <c r="T8" i="5" s="1"/>
  <c r="P35" i="1"/>
  <c r="Q35" i="1" s="1"/>
  <c r="S35" i="1" s="1"/>
  <c r="N36" i="1"/>
  <c r="O41" i="5"/>
  <c r="N42" i="5"/>
  <c r="L34" i="1"/>
  <c r="M33" i="1"/>
  <c r="N44" i="5" l="1"/>
  <c r="R8" i="5"/>
  <c r="I18" i="5"/>
  <c r="J27" i="5" s="1"/>
  <c r="P36" i="1"/>
  <c r="Q36" i="1" s="1"/>
  <c r="S36" i="1" s="1"/>
  <c r="N37" i="1"/>
  <c r="O42" i="5"/>
  <c r="N43" i="5"/>
  <c r="O43" i="5" s="1"/>
  <c r="L35" i="1"/>
  <c r="M34" i="1"/>
  <c r="K27" i="5" l="1"/>
  <c r="P37" i="1"/>
  <c r="Q37" i="1" s="1"/>
  <c r="S37" i="1" s="1"/>
  <c r="N38" i="1"/>
  <c r="L36" i="1"/>
  <c r="M35" i="1"/>
  <c r="P38" i="1" l="1"/>
  <c r="Q38" i="1" s="1"/>
  <c r="S38" i="1" s="1"/>
  <c r="N39" i="1"/>
  <c r="L37" i="1"/>
  <c r="M36" i="1"/>
  <c r="P39" i="1" l="1"/>
  <c r="Q39" i="1" s="1"/>
  <c r="S39" i="1" s="1"/>
  <c r="N40" i="1"/>
  <c r="L38" i="1"/>
  <c r="M37" i="1"/>
  <c r="P40" i="1" l="1"/>
  <c r="Q40" i="1" s="1"/>
  <c r="S40" i="1" s="1"/>
  <c r="N41" i="1"/>
  <c r="L39" i="1"/>
  <c r="M38" i="1"/>
  <c r="P41" i="1" l="1"/>
  <c r="Q41" i="1" s="1"/>
  <c r="S41" i="1" s="1"/>
  <c r="N42" i="1"/>
  <c r="L40" i="1"/>
  <c r="M39" i="1"/>
  <c r="P42" i="1" l="1"/>
  <c r="Q42" i="1" s="1"/>
  <c r="S42" i="1" s="1"/>
  <c r="N43" i="1"/>
  <c r="L41" i="1"/>
  <c r="M40" i="1"/>
  <c r="P43" i="1" l="1"/>
  <c r="Q43" i="1" s="1"/>
  <c r="S43" i="1" s="1"/>
  <c r="N44" i="1"/>
  <c r="L42" i="1"/>
  <c r="M41" i="1"/>
  <c r="P44" i="1" l="1"/>
  <c r="Q44" i="1" s="1"/>
  <c r="S44" i="1" s="1"/>
  <c r="N45" i="1"/>
  <c r="L43" i="1"/>
  <c r="M42" i="1"/>
  <c r="P45" i="1" l="1"/>
  <c r="Q45" i="1" s="1"/>
  <c r="S45" i="1" s="1"/>
  <c r="N46" i="1"/>
  <c r="L44" i="1"/>
  <c r="M43" i="1"/>
  <c r="P46" i="1" l="1"/>
  <c r="Q46" i="1" s="1"/>
  <c r="S46" i="1" s="1"/>
  <c r="N47" i="1"/>
  <c r="L45" i="1"/>
  <c r="M44" i="1"/>
  <c r="P47" i="1" l="1"/>
  <c r="Q47" i="1" s="1"/>
  <c r="S47" i="1" s="1"/>
  <c r="N48" i="1"/>
  <c r="L46" i="1"/>
  <c r="M45" i="1"/>
  <c r="P48" i="1" l="1"/>
  <c r="Q48" i="1" s="1"/>
  <c r="S48" i="1" s="1"/>
  <c r="N49" i="1"/>
  <c r="P49" i="1" s="1"/>
  <c r="L47" i="1"/>
  <c r="M46" i="1"/>
  <c r="Q49" i="1" l="1"/>
  <c r="S49" i="1" s="1"/>
  <c r="Q7" i="1" s="1"/>
  <c r="S7" i="1" s="1"/>
  <c r="L48" i="1"/>
  <c r="M47" i="1"/>
  <c r="E24" i="1" l="1"/>
  <c r="L49" i="1"/>
  <c r="M49" i="1" s="1"/>
  <c r="M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Natasha Hannah</author>
  </authors>
  <commentList>
    <comment ref="M7" authorId="0" shapeId="0" xr:uid="{33E20F12-0EA2-4474-9230-F3B4F61467A0}">
      <text>
        <r>
          <rPr>
            <b/>
            <sz val="9"/>
            <color indexed="81"/>
            <rFont val="Tahoma"/>
            <family val="2"/>
          </rPr>
          <t>Natasha Hannah:</t>
        </r>
        <r>
          <rPr>
            <sz val="9"/>
            <color indexed="81"/>
            <rFont val="Tahoma"/>
            <family val="2"/>
          </rPr>
          <t xml:space="preserve">
    Since the bond is issued on 22 July 2024, the base RPI should be based on April 2024 (3 months lag from the issue date).</t>
        </r>
      </text>
    </comment>
    <comment ref="S7" authorId="0" shapeId="0" xr:uid="{EA98C2D1-FF89-4DC6-A094-0D3E80C85100}">
      <text>
        <r>
          <rPr>
            <b/>
            <sz val="9"/>
            <color indexed="81"/>
            <rFont val="Tahoma"/>
            <family val="2"/>
          </rPr>
          <t>Natasha Hannah:</t>
        </r>
        <r>
          <rPr>
            <sz val="9"/>
            <color indexed="81"/>
            <rFont val="Tahoma"/>
            <family val="2"/>
          </rPr>
          <t xml:space="preserve">
Value of issuance of the bond (Present Value) is equal to the sum of all present values (coupon and redemption payments).</t>
        </r>
      </text>
    </comment>
    <comment ref="L8" authorId="0" shapeId="0" xr:uid="{62CACA31-46BF-4CED-8122-1FFFE77DA26A}">
      <text>
        <r>
          <rPr>
            <b/>
            <sz val="9"/>
            <color indexed="81"/>
            <rFont val="Tahoma"/>
            <family val="2"/>
          </rPr>
          <t>Natasha Hannah:</t>
        </r>
        <r>
          <rPr>
            <sz val="9"/>
            <color indexed="81"/>
            <rFont val="Tahoma"/>
            <family val="2"/>
          </rPr>
          <t xml:space="preserve">
First coupon payment starts on 22 January 2025.</t>
        </r>
      </text>
    </comment>
    <comment ref="Q49" authorId="0" shapeId="0" xr:uid="{4825EC99-C7EE-4E50-AB1C-7173530069E4}">
      <text>
        <r>
          <rPr>
            <b/>
            <sz val="9"/>
            <color indexed="81"/>
            <rFont val="Tahoma"/>
            <family val="2"/>
          </rPr>
          <t>Natasha Hannah:</t>
        </r>
        <r>
          <rPr>
            <sz val="9"/>
            <color indexed="81"/>
            <rFont val="Tahoma"/>
            <family val="2"/>
          </rPr>
          <t xml:space="preserve">
Redemption coupon is added since the bond is redeemed at par on 22 July 2045.
</t>
        </r>
      </text>
    </comment>
    <comment ref="L50" authorId="0" shapeId="0" xr:uid="{756DF464-1A5E-40F6-ADB3-45B3DB7153DF}">
      <text>
        <r>
          <rPr>
            <b/>
            <sz val="9"/>
            <color indexed="81"/>
            <rFont val="Tahoma"/>
            <family val="2"/>
          </rPr>
          <t>Natasha Hannah:</t>
        </r>
        <r>
          <rPr>
            <sz val="9"/>
            <color indexed="81"/>
            <rFont val="Tahoma"/>
            <family val="2"/>
          </rPr>
          <t xml:space="preserve">
Sum of all present values = NPV = 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Natasha Hannah</author>
  </authors>
  <commentList>
    <comment ref="S7" authorId="0" shapeId="0" xr:uid="{DAF88FE0-F118-4077-A9DF-408367AE62E5}">
      <text>
        <r>
          <rPr>
            <b/>
            <sz val="9"/>
            <color indexed="81"/>
            <rFont val="Tahoma"/>
            <family val="2"/>
          </rPr>
          <t>Natasha Hannah:</t>
        </r>
        <r>
          <rPr>
            <sz val="9"/>
            <color indexed="81"/>
            <rFont val="Tahoma"/>
            <family val="2"/>
          </rPr>
          <t xml:space="preserve">
Using the 'Goal Seek' function, this cell is set to the given value at issuance of the bond, which is £200.</t>
        </r>
      </text>
    </comment>
    <comment ref="L50" authorId="0" shapeId="0" xr:uid="{0CC84EE5-DDF9-4AB1-84BA-290CF173DCAE}">
      <text>
        <r>
          <rPr>
            <b/>
            <sz val="9"/>
            <color indexed="81"/>
            <rFont val="Tahoma"/>
            <family val="2"/>
          </rPr>
          <t>Natasha Hannah:</t>
        </r>
        <r>
          <rPr>
            <sz val="9"/>
            <color indexed="81"/>
            <rFont val="Tahoma"/>
            <family val="2"/>
          </rPr>
          <t xml:space="preserve">
Sum of all present values = NPV = 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Natasha Hannah</author>
  </authors>
  <commentList>
    <comment ref="P8" authorId="0" shapeId="0" xr:uid="{A8CC5302-506A-46DF-B0BD-EA668DC7316C}">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Q8" authorId="0" shapeId="0" xr:uid="{4EF420CD-A724-4B29-A783-EA9616314CF7}">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Y8" authorId="0" shapeId="0" xr:uid="{CC0C8F6C-2875-4053-9876-2EC16095C5E8}">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Z8" authorId="0" shapeId="0" xr:uid="{1D11A40D-570C-428B-88E7-9ACC16B81594}">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AH8" authorId="0" shapeId="0" xr:uid="{FE808429-8C62-4FFE-BE9C-8A3538D3C0D7}">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AI8" authorId="0" shapeId="0" xr:uid="{92431DFA-090E-44A9-ADA6-D580824A3184}">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AQ8" authorId="0" shapeId="0" xr:uid="{DC8D64B8-0736-4BA0-94E5-9E8D243CC48E}">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AR8" authorId="0" shapeId="0" xr:uid="{25EFDA3E-CC02-493E-B034-630117253EF7}">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AZ8" authorId="0" shapeId="0" xr:uid="{43DFA4F8-123A-4F8B-B66A-DF717FD962D1}">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BA8" authorId="0" shapeId="0" xr:uid="{4D707CFD-EF9F-4DE4-A9D9-9D4B21240E88}">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BI8" authorId="0" shapeId="0" xr:uid="{1D67A33F-6A85-46F7-991A-2912B9202F99}">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BJ8" authorId="0" shapeId="0" xr:uid="{5CEE4D05-4726-4194-AA05-CC882B54B4B5}">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BR8" authorId="0" shapeId="0" xr:uid="{FB0E8525-A31A-4F6B-B167-96E7C42F0278}">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BS8" authorId="0" shapeId="0" xr:uid="{23094E5C-32A9-411B-BA15-A083B143CB3F}">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CA8" authorId="0" shapeId="0" xr:uid="{00A632D2-6D62-4E2D-A1BB-FED19B54D31F}">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CB8" authorId="0" shapeId="0" xr:uid="{230DC04E-B80E-4945-A0E7-27F17E947385}">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CJ8" authorId="0" shapeId="0" xr:uid="{A1407EC3-F671-4990-ADE0-3BC192FD133E}">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CK8" authorId="0" shapeId="0" xr:uid="{CAB01BF9-60A8-435B-B6BE-0DCCF94F138E}">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CS8" authorId="0" shapeId="0" xr:uid="{6FB070B7-C729-45B8-8900-B7778082F3CA}">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CT8" authorId="0" shapeId="0" xr:uid="{23EA3E9B-9D1E-43C7-AAB6-C092EB3DBACC}">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C11" authorId="0" shapeId="0" xr:uid="{E5AF6198-6742-4BC3-951F-769C8F190EEE}">
      <text>
        <r>
          <rPr>
            <b/>
            <sz val="9"/>
            <color indexed="81"/>
            <rFont val="Tahoma"/>
            <family val="2"/>
          </rPr>
          <t>Natasha Hannah:</t>
        </r>
        <r>
          <rPr>
            <sz val="9"/>
            <color indexed="81"/>
            <rFont val="Tahoma"/>
            <family val="2"/>
          </rPr>
          <t xml:space="preserve">
Original coupon amount as per given in Example 3.24 of the lecture notes.</t>
        </r>
      </text>
    </comment>
    <comment ref="C12" authorId="0" shapeId="0" xr:uid="{E2178996-E588-4106-9D1A-BA48111412BF}">
      <text>
        <r>
          <rPr>
            <b/>
            <sz val="9"/>
            <color indexed="81"/>
            <rFont val="Tahoma"/>
            <family val="2"/>
          </rPr>
          <t>Natasha Hannah:</t>
        </r>
        <r>
          <rPr>
            <sz val="9"/>
            <color indexed="81"/>
            <rFont val="Tahoma"/>
            <family val="2"/>
          </rPr>
          <t xml:space="preserve">
Coupon payments occur semi-annually on January 22nd and July 22nd. As a result, the coupon payment per ₤100 nominal for the 4.125% Index-linked Treasury Stock 2030 amounts to ₤2.0625.</t>
        </r>
      </text>
    </comment>
    <comment ref="C13" authorId="0" shapeId="0" xr:uid="{0BA004B3-8464-4360-9D54-EA529114C5BC}">
      <text>
        <r>
          <rPr>
            <b/>
            <sz val="9"/>
            <color indexed="81"/>
            <rFont val="Tahoma"/>
            <family val="2"/>
          </rPr>
          <t>Natasha Hannah:</t>
        </r>
        <r>
          <rPr>
            <sz val="9"/>
            <color indexed="81"/>
            <rFont val="Tahoma"/>
            <family val="2"/>
          </rPr>
          <t xml:space="preserve">
Given lag time that will be used to adjust the payment dates as per Example 3.24 of the lecture notes.</t>
        </r>
      </text>
    </comment>
    <comment ref="C17" authorId="0" shapeId="0" xr:uid="{FB8824D3-C901-4F12-8246-09859E3D14F2}">
      <text>
        <r>
          <rPr>
            <b/>
            <sz val="9"/>
            <color indexed="81"/>
            <rFont val="Tahoma"/>
            <family val="2"/>
          </rPr>
          <t>Natasha Hannah:</t>
        </r>
        <r>
          <rPr>
            <sz val="9"/>
            <color indexed="81"/>
            <rFont val="Tahoma"/>
            <family val="2"/>
          </rPr>
          <t xml:space="preserve">
Given that the gilt was issued on June 12, 1992, the baseline RPI should be derived from October 1991, with an 8-month lag from the issue date.</t>
        </r>
      </text>
    </comment>
    <comment ref="C18" authorId="0" shapeId="0" xr:uid="{9C4DE96A-38D8-495E-82CC-DDC774AF4265}">
      <text>
        <r>
          <rPr>
            <b/>
            <sz val="9"/>
            <color indexed="81"/>
            <rFont val="Tahoma"/>
            <family val="2"/>
          </rPr>
          <t>Natasha Hannah:</t>
        </r>
        <r>
          <rPr>
            <sz val="9"/>
            <color indexed="81"/>
            <rFont val="Tahoma"/>
            <family val="2"/>
          </rPr>
          <t xml:space="preserve">
The last published RPI is Dec 2012 according to Example 3.24</t>
        </r>
      </text>
    </comment>
    <comment ref="C19" authorId="0" shapeId="0" xr:uid="{CF3EB94D-6FE3-47AC-8913-5401A99D2443}">
      <text>
        <r>
          <rPr>
            <b/>
            <sz val="9"/>
            <color indexed="81"/>
            <rFont val="Tahoma"/>
            <family val="2"/>
          </rPr>
          <t>Natasha Hannah:</t>
        </r>
        <r>
          <rPr>
            <sz val="9"/>
            <color indexed="81"/>
            <rFont val="Tahoma"/>
            <family val="2"/>
          </rPr>
          <t xml:space="preserve">
The RPI for November 2012 can be found on page 23 of the lecture notes. It doesn't require calculation using the RPI increase factor because it predates the last published RPI (December 2012).</t>
        </r>
      </text>
    </comment>
    <comment ref="C20" authorId="0" shapeId="0" xr:uid="{78EB4B17-0D8E-4935-8C69-B69823C8231D}">
      <text>
        <r>
          <rPr>
            <b/>
            <sz val="9"/>
            <color indexed="81"/>
            <rFont val="Tahoma"/>
            <family val="2"/>
          </rPr>
          <t>Natasha Hannah:</t>
        </r>
        <r>
          <rPr>
            <sz val="9"/>
            <color indexed="81"/>
            <rFont val="Tahoma"/>
            <family val="2"/>
          </rPr>
          <t xml:space="preserve">
The money yield is 2.187% according to Example 3.23</t>
        </r>
      </text>
    </comment>
    <comment ref="N44" authorId="0" shapeId="0" xr:uid="{4F088FF2-64EC-4B71-A2B6-7FA17EB2553B}">
      <text>
        <r>
          <rPr>
            <b/>
            <sz val="9"/>
            <color indexed="81"/>
            <rFont val="Tahoma"/>
            <family val="2"/>
          </rPr>
          <t>Natasha Hannah:</t>
        </r>
        <r>
          <rPr>
            <sz val="9"/>
            <color indexed="81"/>
            <rFont val="Tahoma"/>
            <family val="2"/>
          </rPr>
          <t xml:space="preserve">
Sum of all present values = NPV = 0 </t>
        </r>
      </text>
    </comment>
    <comment ref="W44" authorId="0" shapeId="0" xr:uid="{706114A6-A8C8-453B-987D-6BA6904687F3}">
      <text>
        <r>
          <rPr>
            <b/>
            <sz val="9"/>
            <color indexed="81"/>
            <rFont val="Tahoma"/>
            <family val="2"/>
          </rPr>
          <t>Natasha Hannah:</t>
        </r>
        <r>
          <rPr>
            <sz val="9"/>
            <color indexed="81"/>
            <rFont val="Tahoma"/>
            <family val="2"/>
          </rPr>
          <t xml:space="preserve">
Sum of all present values = NPV = 0 </t>
        </r>
      </text>
    </comment>
    <comment ref="AF44" authorId="0" shapeId="0" xr:uid="{73E4728C-AE57-4D8A-90B8-A0E263A6ADC6}">
      <text>
        <r>
          <rPr>
            <b/>
            <sz val="9"/>
            <color indexed="81"/>
            <rFont val="Tahoma"/>
            <family val="2"/>
          </rPr>
          <t>Natasha Hannah:</t>
        </r>
        <r>
          <rPr>
            <sz val="9"/>
            <color indexed="81"/>
            <rFont val="Tahoma"/>
            <family val="2"/>
          </rPr>
          <t xml:space="preserve">
Sum of all present values = NPV = 0 </t>
        </r>
      </text>
    </comment>
    <comment ref="AO44" authorId="0" shapeId="0" xr:uid="{E4FA7DF2-A98C-43FF-96B2-46E6B71691B2}">
      <text>
        <r>
          <rPr>
            <b/>
            <sz val="9"/>
            <color indexed="81"/>
            <rFont val="Tahoma"/>
            <family val="2"/>
          </rPr>
          <t>Natasha Hannah:</t>
        </r>
        <r>
          <rPr>
            <sz val="9"/>
            <color indexed="81"/>
            <rFont val="Tahoma"/>
            <family val="2"/>
          </rPr>
          <t xml:space="preserve">
Sum of all present values = NPV = 0 </t>
        </r>
      </text>
    </comment>
    <comment ref="AX44" authorId="0" shapeId="0" xr:uid="{72B8813B-D268-400E-84F7-714D4EA10A8F}">
      <text>
        <r>
          <rPr>
            <b/>
            <sz val="9"/>
            <color indexed="81"/>
            <rFont val="Tahoma"/>
            <family val="2"/>
          </rPr>
          <t>Natasha Hannah:</t>
        </r>
        <r>
          <rPr>
            <sz val="9"/>
            <color indexed="81"/>
            <rFont val="Tahoma"/>
            <family val="2"/>
          </rPr>
          <t xml:space="preserve">
Sum of all present values = NPV = 0 </t>
        </r>
      </text>
    </comment>
    <comment ref="BG44" authorId="0" shapeId="0" xr:uid="{117F5BDF-B45A-4B18-977E-070F5F6B4482}">
      <text>
        <r>
          <rPr>
            <b/>
            <sz val="9"/>
            <color indexed="81"/>
            <rFont val="Tahoma"/>
            <family val="2"/>
          </rPr>
          <t>Natasha Hannah:</t>
        </r>
        <r>
          <rPr>
            <sz val="9"/>
            <color indexed="81"/>
            <rFont val="Tahoma"/>
            <family val="2"/>
          </rPr>
          <t xml:space="preserve">
Sum of all present values = NPV = 0 </t>
        </r>
      </text>
    </comment>
    <comment ref="BP44" authorId="0" shapeId="0" xr:uid="{8B33EF26-4348-4ED2-BBCF-2D0C3B4E916E}">
      <text>
        <r>
          <rPr>
            <b/>
            <sz val="9"/>
            <color indexed="81"/>
            <rFont val="Tahoma"/>
            <family val="2"/>
          </rPr>
          <t>Natasha Hannah:</t>
        </r>
        <r>
          <rPr>
            <sz val="9"/>
            <color indexed="81"/>
            <rFont val="Tahoma"/>
            <family val="2"/>
          </rPr>
          <t xml:space="preserve">
Sum of all present values = NPV = 0 </t>
        </r>
      </text>
    </comment>
    <comment ref="BY44" authorId="0" shapeId="0" xr:uid="{B2A88148-62B8-41F0-91B4-87A25557B878}">
      <text>
        <r>
          <rPr>
            <b/>
            <sz val="9"/>
            <color indexed="81"/>
            <rFont val="Tahoma"/>
            <family val="2"/>
          </rPr>
          <t>Natasha Hannah:</t>
        </r>
        <r>
          <rPr>
            <sz val="9"/>
            <color indexed="81"/>
            <rFont val="Tahoma"/>
            <family val="2"/>
          </rPr>
          <t xml:space="preserve">
Sum of all present values = NPV = 0 </t>
        </r>
      </text>
    </comment>
    <comment ref="CH44" authorId="0" shapeId="0" xr:uid="{B2188490-3A3B-497B-8248-7DD34F808DB2}">
      <text>
        <r>
          <rPr>
            <b/>
            <sz val="9"/>
            <color indexed="81"/>
            <rFont val="Tahoma"/>
            <family val="2"/>
          </rPr>
          <t>Natasha Hannah:</t>
        </r>
        <r>
          <rPr>
            <sz val="9"/>
            <color indexed="81"/>
            <rFont val="Tahoma"/>
            <family val="2"/>
          </rPr>
          <t xml:space="preserve">
Sum of all present values = NPV = 0 </t>
        </r>
      </text>
    </comment>
    <comment ref="CQ44" authorId="0" shapeId="0" xr:uid="{496687C8-CC1D-416C-B8DB-87FD916FD4F3}">
      <text>
        <r>
          <rPr>
            <b/>
            <sz val="9"/>
            <color indexed="81"/>
            <rFont val="Tahoma"/>
            <family val="2"/>
          </rPr>
          <t>Natasha Hannah:</t>
        </r>
        <r>
          <rPr>
            <sz val="9"/>
            <color indexed="81"/>
            <rFont val="Tahoma"/>
            <family val="2"/>
          </rPr>
          <t xml:space="preserve">
Sum of all present values = NPV = 0 </t>
        </r>
      </text>
    </comment>
    <comment ref="P50" authorId="0" shapeId="0" xr:uid="{B7086964-770D-4E86-B386-B1BE31FF5299}">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Q50" authorId="0" shapeId="0" xr:uid="{C288A760-9722-44D4-A383-69F947D928FA}">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Y50" authorId="0" shapeId="0" xr:uid="{CDAB8AD8-2A40-4666-AABC-281E5B3F3503}">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Z50" authorId="0" shapeId="0" xr:uid="{BAFDAFA8-442B-4A73-BA9C-D3BDA3E87DC6}">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AH50" authorId="0" shapeId="0" xr:uid="{DF11C1C6-46FF-408D-821E-1F91A02CE9DA}">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AI50" authorId="0" shapeId="0" xr:uid="{9F1934FA-D671-4C45-AE02-BEACF0059437}">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AQ50" authorId="0" shapeId="0" xr:uid="{B192F92C-0548-4914-BBC3-163EE47BB2AD}">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AR50" authorId="0" shapeId="0" xr:uid="{E9D3E19C-17A6-4A3B-9D09-34C48C28C5C7}">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AZ50" authorId="0" shapeId="0" xr:uid="{A4BA5650-2EEF-4515-BAC8-C4D9746F6C05}">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BA50" authorId="0" shapeId="0" xr:uid="{A6552523-C8DF-4B36-9612-1F290E010925}">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BI50" authorId="0" shapeId="0" xr:uid="{C826A119-8978-4D30-BD7A-5250554883E8}">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BJ50" authorId="0" shapeId="0" xr:uid="{07DA6F50-9D37-45CF-8749-4A4A7BF43CD2}">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BR50" authorId="0" shapeId="0" xr:uid="{EBA6EA93-D5B7-46DD-9A7F-B4E611512680}">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BS50" authorId="0" shapeId="0" xr:uid="{9E7ACA90-C876-4B3D-8BDA-23599BB9DC6E}">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CA50" authorId="0" shapeId="0" xr:uid="{CF059B54-2F54-4E44-BA1E-3FFAD821FABF}">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CB50" authorId="0" shapeId="0" xr:uid="{5019AE01-261F-4160-A074-B6E41F92E73A}">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CJ50" authorId="0" shapeId="0" xr:uid="{70533390-C9EC-40B7-BEC0-07EDC9A71FB8}">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CK50" authorId="0" shapeId="0" xr:uid="{51BC57C9-C140-4745-8210-5EA54EDEED81}">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CS50" authorId="0" shapeId="0" xr:uid="{8F4DB764-F7D2-43D8-9F38-C8C26A2F8E08}">
      <text>
        <r>
          <rPr>
            <b/>
            <sz val="9"/>
            <color indexed="81"/>
            <rFont val="Tahoma"/>
            <family val="2"/>
          </rPr>
          <t>Natasha Hannah:</t>
        </r>
        <r>
          <rPr>
            <sz val="9"/>
            <color indexed="81"/>
            <rFont val="Tahoma"/>
            <family val="2"/>
          </rPr>
          <t xml:space="preserve">
The negative value signifies that the coupon payment date lags before the last published RPI. Therefore, the lagged RPI can be obtained directly from page 23 of the lecture notes instead of calculating it based on the last published RPI.</t>
        </r>
      </text>
    </comment>
    <comment ref="CT50" authorId="0" shapeId="0" xr:uid="{974176DC-D934-4D61-8B54-C70D9E782199}">
      <text>
        <r>
          <rPr>
            <b/>
            <sz val="9"/>
            <color indexed="81"/>
            <rFont val="Tahoma"/>
            <family val="2"/>
          </rPr>
          <t>Natasha Hannah:</t>
        </r>
        <r>
          <rPr>
            <sz val="9"/>
            <color indexed="81"/>
            <rFont val="Tahoma"/>
            <family val="2"/>
          </rPr>
          <t xml:space="preserve">
Calculation of the lagged RPI isn't necessary in this scenario since the coupon payments are made in arrears, as illustrated in Example 3.24 from the lecture notes.</t>
        </r>
      </text>
    </comment>
    <comment ref="N86" authorId="0" shapeId="0" xr:uid="{A7651F23-08F9-451C-A7CA-461589B202BC}">
      <text>
        <r>
          <rPr>
            <b/>
            <sz val="9"/>
            <color indexed="81"/>
            <rFont val="Tahoma"/>
            <family val="2"/>
          </rPr>
          <t>Natasha Hannah:</t>
        </r>
        <r>
          <rPr>
            <sz val="9"/>
            <color indexed="81"/>
            <rFont val="Tahoma"/>
            <family val="2"/>
          </rPr>
          <t xml:space="preserve">
Sum of all present values = NPV = 0 </t>
        </r>
      </text>
    </comment>
    <comment ref="W86" authorId="0" shapeId="0" xr:uid="{78D5C1CB-C18D-4E0B-82B6-CBCD79966309}">
      <text>
        <r>
          <rPr>
            <b/>
            <sz val="9"/>
            <color indexed="81"/>
            <rFont val="Tahoma"/>
            <family val="2"/>
          </rPr>
          <t>Natasha Hannah:</t>
        </r>
        <r>
          <rPr>
            <sz val="9"/>
            <color indexed="81"/>
            <rFont val="Tahoma"/>
            <family val="2"/>
          </rPr>
          <t xml:space="preserve">
Sum of all present values = NPV = 0 </t>
        </r>
      </text>
    </comment>
    <comment ref="AF86" authorId="0" shapeId="0" xr:uid="{22C38A54-64E9-44F1-B8F8-9F7B603D7B55}">
      <text>
        <r>
          <rPr>
            <b/>
            <sz val="9"/>
            <color indexed="81"/>
            <rFont val="Tahoma"/>
            <family val="2"/>
          </rPr>
          <t>Natasha Hannah:</t>
        </r>
        <r>
          <rPr>
            <sz val="9"/>
            <color indexed="81"/>
            <rFont val="Tahoma"/>
            <family val="2"/>
          </rPr>
          <t xml:space="preserve">
Sum of all present values = NPV = 0 </t>
        </r>
      </text>
    </comment>
    <comment ref="AO86" authorId="0" shapeId="0" xr:uid="{155725EC-FE51-4D47-8ED5-7F2D223ACFAE}">
      <text>
        <r>
          <rPr>
            <b/>
            <sz val="9"/>
            <color indexed="81"/>
            <rFont val="Tahoma"/>
            <family val="2"/>
          </rPr>
          <t>Natasha Hannah:</t>
        </r>
        <r>
          <rPr>
            <sz val="9"/>
            <color indexed="81"/>
            <rFont val="Tahoma"/>
            <family val="2"/>
          </rPr>
          <t xml:space="preserve">
Sum of all present values = NPV = 0 </t>
        </r>
      </text>
    </comment>
    <comment ref="AX86" authorId="0" shapeId="0" xr:uid="{6D6C24F8-C8B7-4E00-9019-4F657422C15E}">
      <text>
        <r>
          <rPr>
            <b/>
            <sz val="9"/>
            <color indexed="81"/>
            <rFont val="Tahoma"/>
            <family val="2"/>
          </rPr>
          <t>Natasha Hannah:</t>
        </r>
        <r>
          <rPr>
            <sz val="9"/>
            <color indexed="81"/>
            <rFont val="Tahoma"/>
            <family val="2"/>
          </rPr>
          <t xml:space="preserve">
Sum of all present values = NPV = 0 </t>
        </r>
      </text>
    </comment>
    <comment ref="BG86" authorId="0" shapeId="0" xr:uid="{78298C1E-95D9-4ECF-B89A-AC6DE9B96CC4}">
      <text>
        <r>
          <rPr>
            <b/>
            <sz val="9"/>
            <color indexed="81"/>
            <rFont val="Tahoma"/>
            <family val="2"/>
          </rPr>
          <t>Natasha Hannah:</t>
        </r>
        <r>
          <rPr>
            <sz val="9"/>
            <color indexed="81"/>
            <rFont val="Tahoma"/>
            <family val="2"/>
          </rPr>
          <t xml:space="preserve">
Sum of all present values = NPV = 0 </t>
        </r>
      </text>
    </comment>
    <comment ref="BP86" authorId="0" shapeId="0" xr:uid="{26FEA1E8-1625-435C-A75D-A845E987C554}">
      <text>
        <r>
          <rPr>
            <b/>
            <sz val="9"/>
            <color indexed="81"/>
            <rFont val="Tahoma"/>
            <family val="2"/>
          </rPr>
          <t>Natasha Hannah:</t>
        </r>
        <r>
          <rPr>
            <sz val="9"/>
            <color indexed="81"/>
            <rFont val="Tahoma"/>
            <family val="2"/>
          </rPr>
          <t xml:space="preserve">
Sum of all present values = NPV = 0 </t>
        </r>
      </text>
    </comment>
    <comment ref="BY86" authorId="0" shapeId="0" xr:uid="{774DA5AD-FECC-4E00-8430-EB951D44450E}">
      <text>
        <r>
          <rPr>
            <b/>
            <sz val="9"/>
            <color indexed="81"/>
            <rFont val="Tahoma"/>
            <family val="2"/>
          </rPr>
          <t>Natasha Hannah:</t>
        </r>
        <r>
          <rPr>
            <sz val="9"/>
            <color indexed="81"/>
            <rFont val="Tahoma"/>
            <family val="2"/>
          </rPr>
          <t xml:space="preserve">
Sum of all present values = NPV = 0 </t>
        </r>
      </text>
    </comment>
    <comment ref="CH86" authorId="0" shapeId="0" xr:uid="{B81BE9EA-27E1-449B-A480-7821754F7AFE}">
      <text>
        <r>
          <rPr>
            <b/>
            <sz val="9"/>
            <color indexed="81"/>
            <rFont val="Tahoma"/>
            <family val="2"/>
          </rPr>
          <t>Natasha Hannah:</t>
        </r>
        <r>
          <rPr>
            <sz val="9"/>
            <color indexed="81"/>
            <rFont val="Tahoma"/>
            <family val="2"/>
          </rPr>
          <t xml:space="preserve">
Sum of all present values = NPV = 0 </t>
        </r>
      </text>
    </comment>
    <comment ref="CQ86" authorId="0" shapeId="0" xr:uid="{1C91E1DA-7148-41B1-9E01-99218851A67C}">
      <text>
        <r>
          <rPr>
            <b/>
            <sz val="9"/>
            <color indexed="81"/>
            <rFont val="Tahoma"/>
            <family val="2"/>
          </rPr>
          <t>Natasha Hannah:</t>
        </r>
        <r>
          <rPr>
            <sz val="9"/>
            <color indexed="81"/>
            <rFont val="Tahoma"/>
            <family val="2"/>
          </rPr>
          <t xml:space="preserve">
Sum of all present values = NPV = 0 </t>
        </r>
      </text>
    </comment>
  </commentList>
</comments>
</file>

<file path=xl/sharedStrings.xml><?xml version="1.0" encoding="utf-8"?>
<sst xmlns="http://schemas.openxmlformats.org/spreadsheetml/2006/main" count="629" uniqueCount="164">
  <si>
    <t>H00416365</t>
  </si>
  <si>
    <t>Student ID</t>
  </si>
  <si>
    <t>Name</t>
  </si>
  <si>
    <t>Value</t>
  </si>
  <si>
    <t>Description</t>
  </si>
  <si>
    <t>Last published RPI (January 2024)</t>
  </si>
  <si>
    <t>q</t>
  </si>
  <si>
    <t>time_lag</t>
  </si>
  <si>
    <t xml:space="preserve">i </t>
  </si>
  <si>
    <t>Money yield of bond per annum</t>
  </si>
  <si>
    <t>Time</t>
  </si>
  <si>
    <t>last_RPI</t>
  </si>
  <si>
    <t>redeem_date</t>
  </si>
  <si>
    <t xml:space="preserve">issue_date </t>
  </si>
  <si>
    <t>(Years)</t>
  </si>
  <si>
    <t>Payment Date</t>
  </si>
  <si>
    <t>Date when bond was issued (dd/mm/yyyy)</t>
  </si>
  <si>
    <t>Date when bond is redeemed at par (dd/mm/yyyy)</t>
  </si>
  <si>
    <t>(dd/mm/yyyy)</t>
  </si>
  <si>
    <t>Time lag in months for RPI indexation</t>
  </si>
  <si>
    <t>Constant rate of inflation per annum</t>
  </si>
  <si>
    <t>(Months)</t>
  </si>
  <si>
    <t>nominal_coupon</t>
  </si>
  <si>
    <t>Nominal coupon payment per £100 nominal</t>
  </si>
  <si>
    <t>Discount Factor</t>
  </si>
  <si>
    <t>Present Value</t>
  </si>
  <si>
    <t>base_RPI</t>
  </si>
  <si>
    <t>Base RPI of April 2024</t>
  </si>
  <si>
    <t>mu</t>
  </si>
  <si>
    <t>sigma</t>
  </si>
  <si>
    <t>Parameter of lognormal</t>
  </si>
  <si>
    <t>(£)</t>
  </si>
  <si>
    <t>Number</t>
  </si>
  <si>
    <t>Sample</t>
  </si>
  <si>
    <t>UNIF[0,1]</t>
  </si>
  <si>
    <t>N(0,1)</t>
  </si>
  <si>
    <t>for Q</t>
  </si>
  <si>
    <t>Date when the Index-Linked Treasury Gilt 2030 was issued (dd/mm/yyyy)</t>
  </si>
  <si>
    <t>Base RPI of October 1991</t>
  </si>
  <si>
    <t>Last published RPI (December 2012)</t>
  </si>
  <si>
    <t>Payment Date - 3 Months</t>
  </si>
  <si>
    <t>for (1+Q)</t>
  </si>
  <si>
    <t>Sample Inflation Rates</t>
  </si>
  <si>
    <t>Today's date (dd/mm/yyyy)</t>
  </si>
  <si>
    <t>ori_coupon</t>
  </si>
  <si>
    <t>coupon</t>
  </si>
  <si>
    <t>date_issue</t>
  </si>
  <si>
    <t>date_redeem</t>
  </si>
  <si>
    <t>date_today</t>
  </si>
  <si>
    <t>RPI_base</t>
  </si>
  <si>
    <t>RPI_last</t>
  </si>
  <si>
    <t>money_yield</t>
  </si>
  <si>
    <t>lag_time</t>
  </si>
  <si>
    <t>Payment Date - 8 Months</t>
  </si>
  <si>
    <t>Adjusted nominal coupon payment for 2 payments in a year</t>
  </si>
  <si>
    <t>q_1</t>
  </si>
  <si>
    <t>q_2</t>
  </si>
  <si>
    <t>q_3</t>
  </si>
  <si>
    <t>q_4</t>
  </si>
  <si>
    <t>q_5</t>
  </si>
  <si>
    <t>q_6</t>
  </si>
  <si>
    <t>q_7</t>
  </si>
  <si>
    <t>q_8</t>
  </si>
  <si>
    <t>q_9</t>
  </si>
  <si>
    <t>q_10</t>
  </si>
  <si>
    <t>q_11</t>
  </si>
  <si>
    <t>q_12</t>
  </si>
  <si>
    <t>q_13</t>
  </si>
  <si>
    <t>q_14</t>
  </si>
  <si>
    <t>q_15</t>
  </si>
  <si>
    <t>q_16</t>
  </si>
  <si>
    <t>q_17</t>
  </si>
  <si>
    <t>q_19</t>
  </si>
  <si>
    <t>q_18</t>
  </si>
  <si>
    <t>q_20</t>
  </si>
  <si>
    <t>RPI_nov12</t>
  </si>
  <si>
    <t>RPI for November 2012</t>
  </si>
  <si>
    <t xml:space="preserve">Lagged RPI </t>
  </si>
  <si>
    <t>Inflation Rates</t>
  </si>
  <si>
    <t>Today's Value (Present Value)</t>
  </si>
  <si>
    <t>Mean</t>
  </si>
  <si>
    <t>Standard Deviation</t>
  </si>
  <si>
    <t>Coupon payment before inflation-indexing (per ₤100 nominal)</t>
  </si>
  <si>
    <t>Answer for Question 1(a)</t>
  </si>
  <si>
    <t>(Value at issuance of bond)</t>
  </si>
  <si>
    <t>Time from Lagged Coupon Payment Date</t>
  </si>
  <si>
    <t>(Lagged Coupon Payment Date)</t>
  </si>
  <si>
    <t>Money Value of Coupon</t>
  </si>
  <si>
    <t>and Redemption Payments</t>
  </si>
  <si>
    <t>to January 2024 (Last Published RPI Date)</t>
  </si>
  <si>
    <t>rdemption_coupon</t>
  </si>
  <si>
    <t>Bond is redeemed at par</t>
  </si>
  <si>
    <t>Check:</t>
  </si>
  <si>
    <t>Goal Seek</t>
  </si>
  <si>
    <t>Change cell</t>
  </si>
  <si>
    <t>Set cell to -£200</t>
  </si>
  <si>
    <t>Answer for Question 1(b)</t>
  </si>
  <si>
    <r>
      <t>q</t>
    </r>
    <r>
      <rPr>
        <vertAlign val="subscript"/>
        <sz val="12"/>
        <color theme="1"/>
        <rFont val="Arial"/>
        <family val="2"/>
      </rPr>
      <t>1</t>
    </r>
  </si>
  <si>
    <r>
      <t>q</t>
    </r>
    <r>
      <rPr>
        <vertAlign val="subscript"/>
        <sz val="12"/>
        <color theme="1"/>
        <rFont val="Arial"/>
        <family val="2"/>
      </rPr>
      <t>2</t>
    </r>
  </si>
  <si>
    <r>
      <t>q</t>
    </r>
    <r>
      <rPr>
        <vertAlign val="subscript"/>
        <sz val="12"/>
        <color theme="1"/>
        <rFont val="Arial"/>
        <family val="2"/>
      </rPr>
      <t>3</t>
    </r>
  </si>
  <si>
    <r>
      <t>q</t>
    </r>
    <r>
      <rPr>
        <vertAlign val="subscript"/>
        <sz val="12"/>
        <color theme="1"/>
        <rFont val="Arial"/>
        <family val="2"/>
      </rPr>
      <t>4</t>
    </r>
  </si>
  <si>
    <r>
      <t>q</t>
    </r>
    <r>
      <rPr>
        <vertAlign val="subscript"/>
        <sz val="12"/>
        <color theme="1"/>
        <rFont val="Arial"/>
        <family val="2"/>
      </rPr>
      <t>5</t>
    </r>
  </si>
  <si>
    <r>
      <t>q</t>
    </r>
    <r>
      <rPr>
        <vertAlign val="subscript"/>
        <sz val="12"/>
        <color theme="1"/>
        <rFont val="Arial"/>
        <family val="2"/>
      </rPr>
      <t>6</t>
    </r>
    <r>
      <rPr>
        <sz val="11"/>
        <color theme="1"/>
        <rFont val="Calibri"/>
        <family val="2"/>
        <scheme val="minor"/>
      </rPr>
      <t/>
    </r>
  </si>
  <si>
    <r>
      <t>q</t>
    </r>
    <r>
      <rPr>
        <vertAlign val="subscript"/>
        <sz val="12"/>
        <color theme="1"/>
        <rFont val="Arial"/>
        <family val="2"/>
      </rPr>
      <t>7</t>
    </r>
    <r>
      <rPr>
        <sz val="11"/>
        <color theme="1"/>
        <rFont val="Calibri"/>
        <family val="2"/>
        <scheme val="minor"/>
      </rPr>
      <t/>
    </r>
  </si>
  <si>
    <r>
      <t>q</t>
    </r>
    <r>
      <rPr>
        <vertAlign val="subscript"/>
        <sz val="12"/>
        <color theme="1"/>
        <rFont val="Arial"/>
        <family val="2"/>
      </rPr>
      <t>8</t>
    </r>
    <r>
      <rPr>
        <sz val="11"/>
        <color theme="1"/>
        <rFont val="Calibri"/>
        <family val="2"/>
        <scheme val="minor"/>
      </rPr>
      <t/>
    </r>
  </si>
  <si>
    <r>
      <t>q</t>
    </r>
    <r>
      <rPr>
        <vertAlign val="subscript"/>
        <sz val="12"/>
        <color theme="1"/>
        <rFont val="Arial"/>
        <family val="2"/>
      </rPr>
      <t>9</t>
    </r>
    <r>
      <rPr>
        <sz val="11"/>
        <color theme="1"/>
        <rFont val="Calibri"/>
        <family val="2"/>
        <scheme val="minor"/>
      </rPr>
      <t/>
    </r>
  </si>
  <si>
    <r>
      <t>q</t>
    </r>
    <r>
      <rPr>
        <vertAlign val="subscript"/>
        <sz val="12"/>
        <color theme="1"/>
        <rFont val="Arial"/>
        <family val="2"/>
      </rPr>
      <t>10</t>
    </r>
    <r>
      <rPr>
        <sz val="11"/>
        <color theme="1"/>
        <rFont val="Calibri"/>
        <family val="2"/>
        <scheme val="minor"/>
      </rPr>
      <t/>
    </r>
  </si>
  <si>
    <r>
      <t>q</t>
    </r>
    <r>
      <rPr>
        <vertAlign val="subscript"/>
        <sz val="12"/>
        <color theme="1"/>
        <rFont val="Arial"/>
        <family val="2"/>
      </rPr>
      <t>11</t>
    </r>
    <r>
      <rPr>
        <sz val="11"/>
        <color theme="1"/>
        <rFont val="Calibri"/>
        <family val="2"/>
        <scheme val="minor"/>
      </rPr>
      <t/>
    </r>
  </si>
  <si>
    <r>
      <t>q</t>
    </r>
    <r>
      <rPr>
        <vertAlign val="subscript"/>
        <sz val="12"/>
        <color theme="1"/>
        <rFont val="Arial"/>
        <family val="2"/>
      </rPr>
      <t>12</t>
    </r>
    <r>
      <rPr>
        <sz val="11"/>
        <color theme="1"/>
        <rFont val="Calibri"/>
        <family val="2"/>
        <scheme val="minor"/>
      </rPr>
      <t/>
    </r>
  </si>
  <si>
    <r>
      <t>q</t>
    </r>
    <r>
      <rPr>
        <vertAlign val="subscript"/>
        <sz val="12"/>
        <color theme="1"/>
        <rFont val="Arial"/>
        <family val="2"/>
      </rPr>
      <t>13</t>
    </r>
    <r>
      <rPr>
        <sz val="11"/>
        <color theme="1"/>
        <rFont val="Calibri"/>
        <family val="2"/>
        <scheme val="minor"/>
      </rPr>
      <t/>
    </r>
  </si>
  <si>
    <r>
      <t>q</t>
    </r>
    <r>
      <rPr>
        <vertAlign val="subscript"/>
        <sz val="12"/>
        <color theme="1"/>
        <rFont val="Arial"/>
        <family val="2"/>
      </rPr>
      <t>14</t>
    </r>
    <r>
      <rPr>
        <sz val="11"/>
        <color theme="1"/>
        <rFont val="Calibri"/>
        <family val="2"/>
        <scheme val="minor"/>
      </rPr>
      <t/>
    </r>
  </si>
  <si>
    <r>
      <t>q</t>
    </r>
    <r>
      <rPr>
        <vertAlign val="subscript"/>
        <sz val="12"/>
        <color theme="1"/>
        <rFont val="Arial"/>
        <family val="2"/>
      </rPr>
      <t>15</t>
    </r>
    <r>
      <rPr>
        <sz val="11"/>
        <color theme="1"/>
        <rFont val="Calibri"/>
        <family val="2"/>
        <scheme val="minor"/>
      </rPr>
      <t/>
    </r>
  </si>
  <si>
    <r>
      <t>q</t>
    </r>
    <r>
      <rPr>
        <vertAlign val="subscript"/>
        <sz val="12"/>
        <color theme="1"/>
        <rFont val="Arial"/>
        <family val="2"/>
      </rPr>
      <t>16</t>
    </r>
    <r>
      <rPr>
        <sz val="11"/>
        <color theme="1"/>
        <rFont val="Calibri"/>
        <family val="2"/>
        <scheme val="minor"/>
      </rPr>
      <t/>
    </r>
  </si>
  <si>
    <r>
      <t>q</t>
    </r>
    <r>
      <rPr>
        <vertAlign val="subscript"/>
        <sz val="12"/>
        <color theme="1"/>
        <rFont val="Arial"/>
        <family val="2"/>
      </rPr>
      <t>17</t>
    </r>
    <r>
      <rPr>
        <sz val="11"/>
        <color theme="1"/>
        <rFont val="Calibri"/>
        <family val="2"/>
        <scheme val="minor"/>
      </rPr>
      <t/>
    </r>
  </si>
  <si>
    <r>
      <t>q</t>
    </r>
    <r>
      <rPr>
        <vertAlign val="subscript"/>
        <sz val="12"/>
        <color theme="1"/>
        <rFont val="Arial"/>
        <family val="2"/>
      </rPr>
      <t>18</t>
    </r>
    <r>
      <rPr>
        <sz val="11"/>
        <color theme="1"/>
        <rFont val="Calibri"/>
        <family val="2"/>
        <scheme val="minor"/>
      </rPr>
      <t/>
    </r>
  </si>
  <si>
    <r>
      <t>q</t>
    </r>
    <r>
      <rPr>
        <vertAlign val="subscript"/>
        <sz val="12"/>
        <color theme="1"/>
        <rFont val="Arial"/>
        <family val="2"/>
      </rPr>
      <t>19</t>
    </r>
    <r>
      <rPr>
        <sz val="11"/>
        <color theme="1"/>
        <rFont val="Calibri"/>
        <family val="2"/>
        <scheme val="minor"/>
      </rPr>
      <t/>
    </r>
  </si>
  <si>
    <r>
      <t>q</t>
    </r>
    <r>
      <rPr>
        <vertAlign val="subscript"/>
        <sz val="12"/>
        <color theme="1"/>
        <rFont val="Arial"/>
        <family val="2"/>
      </rPr>
      <t>20</t>
    </r>
    <r>
      <rPr>
        <sz val="11"/>
        <color theme="1"/>
        <rFont val="Calibri"/>
        <family val="2"/>
        <scheme val="minor"/>
      </rPr>
      <t/>
    </r>
  </si>
  <si>
    <r>
      <t>q</t>
    </r>
    <r>
      <rPr>
        <b/>
        <vertAlign val="subscript"/>
        <sz val="12"/>
        <color theme="1"/>
        <rFont val="Arial"/>
        <family val="2"/>
      </rPr>
      <t>1</t>
    </r>
  </si>
  <si>
    <r>
      <t>q</t>
    </r>
    <r>
      <rPr>
        <b/>
        <vertAlign val="subscript"/>
        <sz val="12"/>
        <color theme="1"/>
        <rFont val="Arial"/>
        <family val="2"/>
      </rPr>
      <t>2</t>
    </r>
  </si>
  <si>
    <r>
      <t>q</t>
    </r>
    <r>
      <rPr>
        <b/>
        <vertAlign val="subscript"/>
        <sz val="12"/>
        <color theme="1"/>
        <rFont val="Arial"/>
        <family val="2"/>
      </rPr>
      <t>3</t>
    </r>
  </si>
  <si>
    <r>
      <t>q</t>
    </r>
    <r>
      <rPr>
        <b/>
        <vertAlign val="subscript"/>
        <sz val="12"/>
        <color theme="1"/>
        <rFont val="Arial"/>
        <family val="2"/>
      </rPr>
      <t>4</t>
    </r>
  </si>
  <si>
    <r>
      <t>q</t>
    </r>
    <r>
      <rPr>
        <b/>
        <vertAlign val="subscript"/>
        <sz val="12"/>
        <color theme="1"/>
        <rFont val="Arial"/>
        <family val="2"/>
      </rPr>
      <t>5</t>
    </r>
  </si>
  <si>
    <r>
      <t>q</t>
    </r>
    <r>
      <rPr>
        <b/>
        <vertAlign val="subscript"/>
        <sz val="12"/>
        <color theme="1"/>
        <rFont val="Arial"/>
        <family val="2"/>
      </rPr>
      <t>6</t>
    </r>
  </si>
  <si>
    <r>
      <t>q</t>
    </r>
    <r>
      <rPr>
        <b/>
        <vertAlign val="subscript"/>
        <sz val="12"/>
        <color theme="1"/>
        <rFont val="Arial"/>
        <family val="2"/>
      </rPr>
      <t>7</t>
    </r>
  </si>
  <si>
    <r>
      <t>q</t>
    </r>
    <r>
      <rPr>
        <b/>
        <vertAlign val="subscript"/>
        <sz val="12"/>
        <color theme="1"/>
        <rFont val="Arial"/>
        <family val="2"/>
      </rPr>
      <t>8</t>
    </r>
  </si>
  <si>
    <r>
      <t>q</t>
    </r>
    <r>
      <rPr>
        <b/>
        <vertAlign val="subscript"/>
        <sz val="12"/>
        <color theme="1"/>
        <rFont val="Arial"/>
        <family val="2"/>
      </rPr>
      <t>9</t>
    </r>
  </si>
  <si>
    <r>
      <t>q</t>
    </r>
    <r>
      <rPr>
        <b/>
        <vertAlign val="subscript"/>
        <sz val="12"/>
        <color theme="1"/>
        <rFont val="Arial"/>
        <family val="2"/>
      </rPr>
      <t>10</t>
    </r>
  </si>
  <si>
    <r>
      <t>q</t>
    </r>
    <r>
      <rPr>
        <b/>
        <vertAlign val="subscript"/>
        <sz val="12"/>
        <color theme="1"/>
        <rFont val="Arial"/>
        <family val="2"/>
      </rPr>
      <t>11</t>
    </r>
  </si>
  <si>
    <r>
      <t>q</t>
    </r>
    <r>
      <rPr>
        <b/>
        <vertAlign val="subscript"/>
        <sz val="12"/>
        <color theme="1"/>
        <rFont val="Arial"/>
        <family val="2"/>
      </rPr>
      <t>12</t>
    </r>
  </si>
  <si>
    <r>
      <t>q</t>
    </r>
    <r>
      <rPr>
        <b/>
        <vertAlign val="subscript"/>
        <sz val="12"/>
        <color theme="1"/>
        <rFont val="Arial"/>
        <family val="2"/>
      </rPr>
      <t>13</t>
    </r>
  </si>
  <si>
    <r>
      <t>q</t>
    </r>
    <r>
      <rPr>
        <b/>
        <vertAlign val="subscript"/>
        <sz val="12"/>
        <color theme="1"/>
        <rFont val="Arial"/>
        <family val="2"/>
      </rPr>
      <t>14</t>
    </r>
  </si>
  <si>
    <r>
      <t>q</t>
    </r>
    <r>
      <rPr>
        <b/>
        <vertAlign val="subscript"/>
        <sz val="12"/>
        <color theme="1"/>
        <rFont val="Arial"/>
        <family val="2"/>
      </rPr>
      <t>15</t>
    </r>
  </si>
  <si>
    <r>
      <t>q</t>
    </r>
    <r>
      <rPr>
        <b/>
        <vertAlign val="subscript"/>
        <sz val="12"/>
        <color theme="1"/>
        <rFont val="Arial"/>
        <family val="2"/>
      </rPr>
      <t>16</t>
    </r>
  </si>
  <si>
    <r>
      <t>q</t>
    </r>
    <r>
      <rPr>
        <b/>
        <vertAlign val="subscript"/>
        <sz val="12"/>
        <color theme="1"/>
        <rFont val="Arial"/>
        <family val="2"/>
      </rPr>
      <t>17</t>
    </r>
  </si>
  <si>
    <r>
      <t>q</t>
    </r>
    <r>
      <rPr>
        <b/>
        <vertAlign val="subscript"/>
        <sz val="12"/>
        <color theme="1"/>
        <rFont val="Arial"/>
        <family val="2"/>
      </rPr>
      <t>18</t>
    </r>
  </si>
  <si>
    <r>
      <t>q</t>
    </r>
    <r>
      <rPr>
        <b/>
        <vertAlign val="subscript"/>
        <sz val="12"/>
        <color theme="1"/>
        <rFont val="Arial"/>
        <family val="2"/>
      </rPr>
      <t>19</t>
    </r>
  </si>
  <si>
    <r>
      <t>q</t>
    </r>
    <r>
      <rPr>
        <b/>
        <vertAlign val="subscript"/>
        <sz val="12"/>
        <color theme="1"/>
        <rFont val="Arial"/>
        <family val="2"/>
      </rPr>
      <t>20</t>
    </r>
  </si>
  <si>
    <t>N/A</t>
  </si>
  <si>
    <r>
      <t>Sample Inflation Rate (1+Q) for q</t>
    </r>
    <r>
      <rPr>
        <vertAlign val="subscript"/>
        <sz val="12"/>
        <color theme="1"/>
        <rFont val="Arial"/>
        <family val="2"/>
      </rPr>
      <t>1</t>
    </r>
    <r>
      <rPr>
        <sz val="12"/>
        <color theme="1"/>
        <rFont val="Arial"/>
        <family val="2"/>
      </rPr>
      <t xml:space="preserve"> from Question 2(a)</t>
    </r>
  </si>
  <si>
    <r>
      <t>Sample Inflation Rate (1+Q) for q</t>
    </r>
    <r>
      <rPr>
        <vertAlign val="subscript"/>
        <sz val="12"/>
        <color theme="1"/>
        <rFont val="Arial"/>
        <family val="2"/>
      </rPr>
      <t>2</t>
    </r>
    <r>
      <rPr>
        <sz val="12"/>
        <color theme="1"/>
        <rFont val="Arial"/>
        <family val="2"/>
      </rPr>
      <t xml:space="preserve"> from Question 2(a)</t>
    </r>
  </si>
  <si>
    <r>
      <t>Sample Inflation Rate (1+Q) for q</t>
    </r>
    <r>
      <rPr>
        <vertAlign val="subscript"/>
        <sz val="12"/>
        <color theme="1"/>
        <rFont val="Arial"/>
        <family val="2"/>
      </rPr>
      <t>3</t>
    </r>
    <r>
      <rPr>
        <sz val="12"/>
        <color theme="1"/>
        <rFont val="Arial"/>
        <family val="2"/>
      </rPr>
      <t xml:space="preserve"> from Question 2(a)</t>
    </r>
  </si>
  <si>
    <r>
      <t>Sample Inflation Rate (1+Q) for q</t>
    </r>
    <r>
      <rPr>
        <vertAlign val="subscript"/>
        <sz val="12"/>
        <color theme="1"/>
        <rFont val="Arial"/>
        <family val="2"/>
      </rPr>
      <t>4</t>
    </r>
    <r>
      <rPr>
        <sz val="12"/>
        <color theme="1"/>
        <rFont val="Arial"/>
        <family val="2"/>
      </rPr>
      <t xml:space="preserve"> from Question 2(a)</t>
    </r>
  </si>
  <si>
    <r>
      <t>Sample Inflation Rate (1+Q) for q</t>
    </r>
    <r>
      <rPr>
        <vertAlign val="subscript"/>
        <sz val="12"/>
        <color theme="1"/>
        <rFont val="Arial"/>
        <family val="2"/>
      </rPr>
      <t xml:space="preserve">5 </t>
    </r>
    <r>
      <rPr>
        <sz val="12"/>
        <color theme="1"/>
        <rFont val="Arial"/>
        <family val="2"/>
      </rPr>
      <t>from Question 2(a)</t>
    </r>
  </si>
  <si>
    <r>
      <t>Sample Inflation Rate (1+Q) for q</t>
    </r>
    <r>
      <rPr>
        <vertAlign val="subscript"/>
        <sz val="12"/>
        <color theme="1"/>
        <rFont val="Arial"/>
        <family val="2"/>
      </rPr>
      <t>6</t>
    </r>
    <r>
      <rPr>
        <sz val="12"/>
        <color theme="1"/>
        <rFont val="Arial"/>
        <family val="2"/>
      </rPr>
      <t xml:space="preserve"> from Question 2(a)</t>
    </r>
  </si>
  <si>
    <r>
      <t>Sample Inflation Rate (1+Q) for q</t>
    </r>
    <r>
      <rPr>
        <vertAlign val="subscript"/>
        <sz val="12"/>
        <color theme="1"/>
        <rFont val="Arial"/>
        <family val="2"/>
      </rPr>
      <t>7</t>
    </r>
    <r>
      <rPr>
        <sz val="12"/>
        <color theme="1"/>
        <rFont val="Arial"/>
        <family val="2"/>
      </rPr>
      <t xml:space="preserve"> from Question 2(a)</t>
    </r>
  </si>
  <si>
    <r>
      <t>Sample Inflation Rate (1+Q) for q</t>
    </r>
    <r>
      <rPr>
        <vertAlign val="subscript"/>
        <sz val="12"/>
        <color theme="1"/>
        <rFont val="Arial"/>
        <family val="2"/>
      </rPr>
      <t>8</t>
    </r>
    <r>
      <rPr>
        <sz val="12"/>
        <color theme="1"/>
        <rFont val="Arial"/>
        <family val="2"/>
      </rPr>
      <t xml:space="preserve"> from Question 2(a)</t>
    </r>
  </si>
  <si>
    <r>
      <t>Sample Inflation Rate (1+Q) for q</t>
    </r>
    <r>
      <rPr>
        <vertAlign val="subscript"/>
        <sz val="12"/>
        <color theme="1"/>
        <rFont val="Arial"/>
        <family val="2"/>
      </rPr>
      <t>9</t>
    </r>
    <r>
      <rPr>
        <sz val="12"/>
        <color theme="1"/>
        <rFont val="Arial"/>
        <family val="2"/>
      </rPr>
      <t xml:space="preserve"> from Question 2(a)</t>
    </r>
  </si>
  <si>
    <r>
      <t>Sample Inflation Rate (1+Q) for q</t>
    </r>
    <r>
      <rPr>
        <vertAlign val="subscript"/>
        <sz val="12"/>
        <color theme="1"/>
        <rFont val="Arial"/>
        <family val="2"/>
      </rPr>
      <t>10</t>
    </r>
    <r>
      <rPr>
        <sz val="12"/>
        <color theme="1"/>
        <rFont val="Arial"/>
        <family val="2"/>
      </rPr>
      <t xml:space="preserve"> from Question 2(a)</t>
    </r>
  </si>
  <si>
    <r>
      <t>Sample Inflation Rate (1+Q) for q</t>
    </r>
    <r>
      <rPr>
        <vertAlign val="subscript"/>
        <sz val="12"/>
        <color theme="1"/>
        <rFont val="Arial"/>
        <family val="2"/>
      </rPr>
      <t>11</t>
    </r>
    <r>
      <rPr>
        <sz val="12"/>
        <color theme="1"/>
        <rFont val="Arial"/>
        <family val="2"/>
      </rPr>
      <t xml:space="preserve"> from Question 2(a)</t>
    </r>
  </si>
  <si>
    <r>
      <t>Sample Inflation Rate (1+Q) for q</t>
    </r>
    <r>
      <rPr>
        <vertAlign val="subscript"/>
        <sz val="12"/>
        <color theme="1"/>
        <rFont val="Arial"/>
        <family val="2"/>
      </rPr>
      <t>12</t>
    </r>
    <r>
      <rPr>
        <sz val="12"/>
        <color theme="1"/>
        <rFont val="Arial"/>
        <family val="2"/>
      </rPr>
      <t xml:space="preserve"> from Question 2(a)</t>
    </r>
  </si>
  <si>
    <r>
      <t>Sample Inflation Rate (1+Q) for q</t>
    </r>
    <r>
      <rPr>
        <vertAlign val="subscript"/>
        <sz val="12"/>
        <color theme="1"/>
        <rFont val="Arial"/>
        <family val="2"/>
      </rPr>
      <t>13</t>
    </r>
    <r>
      <rPr>
        <sz val="12"/>
        <color theme="1"/>
        <rFont val="Arial"/>
        <family val="2"/>
      </rPr>
      <t xml:space="preserve"> from Question 2(a)</t>
    </r>
  </si>
  <si>
    <r>
      <t>Sample Inflation Rate (1+Q) for q</t>
    </r>
    <r>
      <rPr>
        <vertAlign val="subscript"/>
        <sz val="12"/>
        <color theme="1"/>
        <rFont val="Arial"/>
        <family val="2"/>
      </rPr>
      <t>14</t>
    </r>
    <r>
      <rPr>
        <sz val="12"/>
        <color theme="1"/>
        <rFont val="Arial"/>
        <family val="2"/>
      </rPr>
      <t xml:space="preserve"> from Question 2(a)</t>
    </r>
  </si>
  <si>
    <r>
      <t>Sample Inflation Rate (1+Q) for q</t>
    </r>
    <r>
      <rPr>
        <vertAlign val="subscript"/>
        <sz val="12"/>
        <color theme="1"/>
        <rFont val="Arial"/>
        <family val="2"/>
      </rPr>
      <t>15</t>
    </r>
    <r>
      <rPr>
        <sz val="12"/>
        <color theme="1"/>
        <rFont val="Arial"/>
        <family val="2"/>
      </rPr>
      <t xml:space="preserve"> from Question 2(a)</t>
    </r>
  </si>
  <si>
    <r>
      <t>Sample Inflation Rate (1+Q) for q</t>
    </r>
    <r>
      <rPr>
        <vertAlign val="subscript"/>
        <sz val="12"/>
        <color theme="1"/>
        <rFont val="Arial"/>
        <family val="2"/>
      </rPr>
      <t>16</t>
    </r>
    <r>
      <rPr>
        <sz val="12"/>
        <color theme="1"/>
        <rFont val="Arial"/>
        <family val="2"/>
      </rPr>
      <t xml:space="preserve"> from Question 2(a)</t>
    </r>
  </si>
  <si>
    <r>
      <t>Sample Inflation Rate (1+Q) for q</t>
    </r>
    <r>
      <rPr>
        <vertAlign val="subscript"/>
        <sz val="12"/>
        <color theme="1"/>
        <rFont val="Arial"/>
        <family val="2"/>
      </rPr>
      <t>17</t>
    </r>
    <r>
      <rPr>
        <sz val="12"/>
        <color theme="1"/>
        <rFont val="Arial"/>
        <family val="2"/>
      </rPr>
      <t xml:space="preserve"> from Question 2(a)</t>
    </r>
  </si>
  <si>
    <r>
      <t>Sample Inflation Rate (1+Q) for q</t>
    </r>
    <r>
      <rPr>
        <vertAlign val="subscript"/>
        <sz val="12"/>
        <color theme="1"/>
        <rFont val="Arial"/>
        <family val="2"/>
      </rPr>
      <t>18</t>
    </r>
    <r>
      <rPr>
        <sz val="12"/>
        <color theme="1"/>
        <rFont val="Arial"/>
        <family val="2"/>
      </rPr>
      <t xml:space="preserve"> from Question 2(a)</t>
    </r>
  </si>
  <si>
    <r>
      <t>Sample Inflation Rate (1+Q) for q</t>
    </r>
    <r>
      <rPr>
        <vertAlign val="subscript"/>
        <sz val="12"/>
        <color theme="1"/>
        <rFont val="Arial"/>
        <family val="2"/>
      </rPr>
      <t>19</t>
    </r>
    <r>
      <rPr>
        <sz val="12"/>
        <color theme="1"/>
        <rFont val="Arial"/>
        <family val="2"/>
      </rPr>
      <t xml:space="preserve"> from Question 2(a)</t>
    </r>
  </si>
  <si>
    <r>
      <t>Sample Inflation Rate (1+Q) for q</t>
    </r>
    <r>
      <rPr>
        <vertAlign val="subscript"/>
        <sz val="12"/>
        <color theme="1"/>
        <rFont val="Arial"/>
        <family val="2"/>
      </rPr>
      <t xml:space="preserve">20 </t>
    </r>
    <r>
      <rPr>
        <sz val="12"/>
        <color theme="1"/>
        <rFont val="Arial"/>
        <family val="2"/>
      </rPr>
      <t>from Question 2(a)</t>
    </r>
  </si>
  <si>
    <t>to December 2012 (Last Published RPI Date)</t>
  </si>
  <si>
    <t>Question 2(b)</t>
  </si>
  <si>
    <t xml:space="preserve">Question 2(c) </t>
  </si>
  <si>
    <t>Why is the mean not the same as that calculated with q = 5%?</t>
  </si>
  <si>
    <t>The mean of sampled values differs from a constant calculation (q = 5%) due to the log-normal distribution capturing variability and skewness in inflation rates, which a single rate cannot.</t>
  </si>
  <si>
    <t>coupon_rdemption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</si>
</sst>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809]#,##0;[Red]\-[$£-809]#,##0"/>
    <numFmt numFmtId="165" formatCode="[$£-809]#,##0.00"/>
    <numFmt numFmtId="166" formatCode="0.000000"/>
    <numFmt numFmtId="167" formatCode="[$£-809]#,##0.000000"/>
    <numFmt numFmtId="168" formatCode="#,##0.000000"/>
  </numFmts>
  <fonts count="18" x14ac:knownFonts="1">
    <font>
      <sz val="11"/>
      <color theme="1"/>
      <name val="Calibri"/>
      <family val="2"/>
      <scheme val="minor"/>
    </font>
    <font>
      <sz val="11"/>
      <color theme="1"/>
      <name val="Arial"/>
      <family val="2"/>
    </font>
    <font>
      <b/>
      <sz val="11"/>
      <color theme="1"/>
      <name val="Arial"/>
      <family val="2"/>
    </font>
    <font>
      <b/>
      <u/>
      <sz val="11"/>
      <color theme="1"/>
      <name val="Arial"/>
      <family val="2"/>
    </font>
    <font>
      <sz val="10"/>
      <color theme="1"/>
      <name val="Arial"/>
      <family val="2"/>
    </font>
    <font>
      <b/>
      <sz val="10"/>
      <color theme="1"/>
      <name val="Arial"/>
      <family val="2"/>
    </font>
    <font>
      <sz val="8"/>
      <name val="Calibri"/>
      <family val="2"/>
      <scheme val="minor"/>
    </font>
    <font>
      <sz val="9"/>
      <color indexed="81"/>
      <name val="Tahoma"/>
      <family val="2"/>
    </font>
    <font>
      <b/>
      <sz val="9"/>
      <color indexed="81"/>
      <name val="Tahoma"/>
      <family val="2"/>
    </font>
    <font>
      <b/>
      <u/>
      <sz val="12"/>
      <color theme="1"/>
      <name val="Arial"/>
      <family val="2"/>
    </font>
    <font>
      <b/>
      <sz val="12"/>
      <color theme="1"/>
      <name val="Arial"/>
      <family val="2"/>
    </font>
    <font>
      <sz val="12"/>
      <color theme="1"/>
      <name val="Arial"/>
      <family val="2"/>
    </font>
    <font>
      <sz val="12"/>
      <name val="Arial"/>
      <family val="2"/>
    </font>
    <font>
      <sz val="12"/>
      <color theme="1"/>
      <name val="Calibri"/>
      <family val="2"/>
      <scheme val="minor"/>
    </font>
    <font>
      <b/>
      <sz val="12"/>
      <name val="Arial"/>
      <family val="2"/>
    </font>
    <font>
      <vertAlign val="subscript"/>
      <sz val="12"/>
      <color theme="1"/>
      <name val="Arial"/>
      <family val="2"/>
    </font>
    <font>
      <b/>
      <vertAlign val="subscript"/>
      <sz val="12"/>
      <color theme="1"/>
      <name val="Arial"/>
      <family val="2"/>
    </font>
    <font>
      <sz val="12"/>
      <color rgb="FF32324D"/>
      <name val="Arial"/>
      <family val="2"/>
    </font>
  </fonts>
  <fills count="13">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B6C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123">
    <xf numFmtId="0" fontId="0" fillId="0" borderId="0" xfId="0"/>
    <xf numFmtId="0" fontId="1" fillId="0" borderId="0" xfId="0" applyFont="1"/>
    <xf numFmtId="0" fontId="3" fillId="0" borderId="0" xfId="0" applyFont="1" applyAlignment="1">
      <alignment horizontal="center"/>
    </xf>
    <xf numFmtId="0" fontId="5" fillId="0" borderId="0" xfId="0" applyFont="1" applyAlignment="1">
      <alignment horizontal="center"/>
    </xf>
    <xf numFmtId="2" fontId="4" fillId="0" borderId="0" xfId="0" applyNumberFormat="1" applyFont="1" applyAlignment="1">
      <alignment horizontal="center"/>
    </xf>
    <xf numFmtId="0" fontId="4" fillId="0" borderId="0" xfId="0" applyFont="1"/>
    <xf numFmtId="0" fontId="3" fillId="0" borderId="0" xfId="0" applyFont="1"/>
    <xf numFmtId="164" fontId="4" fillId="0" borderId="0" xfId="0" applyNumberFormat="1" applyFont="1"/>
    <xf numFmtId="1" fontId="4" fillId="0" borderId="0" xfId="0" applyNumberFormat="1" applyFont="1" applyAlignment="1">
      <alignment horizontal="center"/>
    </xf>
    <xf numFmtId="0" fontId="2" fillId="0" borderId="0" xfId="0" applyFont="1"/>
    <xf numFmtId="0" fontId="9" fillId="3" borderId="1" xfId="0" applyFont="1" applyFill="1" applyBorder="1" applyAlignment="1">
      <alignment horizontal="center"/>
    </xf>
    <xf numFmtId="0" fontId="10" fillId="3" borderId="1" xfId="0" applyFont="1" applyFill="1" applyBorder="1" applyAlignment="1">
      <alignment horizontal="center"/>
    </xf>
    <xf numFmtId="14" fontId="11" fillId="3" borderId="1" xfId="0" applyNumberFormat="1" applyFont="1" applyFill="1" applyBorder="1" applyAlignment="1">
      <alignment horizontal="center"/>
    </xf>
    <xf numFmtId="0" fontId="11" fillId="3" borderId="1" xfId="0" applyFont="1" applyFill="1" applyBorder="1" applyAlignment="1">
      <alignment horizontal="center"/>
    </xf>
    <xf numFmtId="0" fontId="10" fillId="0" borderId="0" xfId="0" applyFont="1"/>
    <xf numFmtId="2" fontId="11" fillId="0" borderId="0" xfId="0" applyNumberFormat="1" applyFont="1" applyAlignment="1">
      <alignment horizontal="center"/>
    </xf>
    <xf numFmtId="0" fontId="11" fillId="0" borderId="0" xfId="0" applyFont="1"/>
    <xf numFmtId="0" fontId="10" fillId="10" borderId="1" xfId="0" applyFont="1" applyFill="1" applyBorder="1" applyAlignment="1">
      <alignment horizontal="center"/>
    </xf>
    <xf numFmtId="0" fontId="10" fillId="11" borderId="1" xfId="0" applyFont="1" applyFill="1" applyBorder="1" applyAlignment="1">
      <alignment horizontal="center"/>
    </xf>
    <xf numFmtId="0" fontId="10" fillId="4" borderId="6" xfId="0" applyFont="1" applyFill="1" applyBorder="1" applyAlignment="1">
      <alignment horizontal="center"/>
    </xf>
    <xf numFmtId="0" fontId="10" fillId="4" borderId="7" xfId="0" applyFont="1" applyFill="1" applyBorder="1" applyAlignment="1">
      <alignment horizontal="center"/>
    </xf>
    <xf numFmtId="0" fontId="10" fillId="4" borderId="9" xfId="0" applyFont="1" applyFill="1" applyBorder="1" applyAlignment="1">
      <alignment horizontal="center"/>
    </xf>
    <xf numFmtId="3" fontId="10" fillId="4" borderId="1" xfId="0" applyNumberFormat="1" applyFont="1" applyFill="1" applyBorder="1" applyAlignment="1">
      <alignment horizontal="center"/>
    </xf>
    <xf numFmtId="0" fontId="10" fillId="4" borderId="1" xfId="0" applyFont="1" applyFill="1" applyBorder="1" applyAlignment="1">
      <alignment horizontal="center"/>
    </xf>
    <xf numFmtId="0" fontId="10" fillId="4" borderId="1" xfId="0" quotePrefix="1" applyFont="1" applyFill="1" applyBorder="1" applyAlignment="1">
      <alignment horizontal="center"/>
    </xf>
    <xf numFmtId="0" fontId="11" fillId="0" borderId="5" xfId="0" applyFont="1" applyBorder="1" applyAlignment="1">
      <alignment horizontal="center"/>
    </xf>
    <xf numFmtId="14" fontId="11" fillId="0" borderId="5" xfId="0" applyNumberFormat="1" applyFont="1" applyBorder="1" applyAlignment="1">
      <alignment horizontal="center"/>
    </xf>
    <xf numFmtId="0" fontId="11" fillId="0" borderId="1" xfId="0" applyFont="1" applyBorder="1" applyAlignment="1">
      <alignment horizontal="center"/>
    </xf>
    <xf numFmtId="166" fontId="11" fillId="0" borderId="1" xfId="0" applyNumberFormat="1" applyFont="1" applyBorder="1" applyAlignment="1">
      <alignment horizontal="center"/>
    </xf>
    <xf numFmtId="2" fontId="11" fillId="0" borderId="1" xfId="0" applyNumberFormat="1" applyFont="1" applyBorder="1" applyAlignment="1">
      <alignment horizontal="center"/>
    </xf>
    <xf numFmtId="14" fontId="11" fillId="0" borderId="1" xfId="0" applyNumberFormat="1" applyFont="1" applyBorder="1" applyAlignment="1">
      <alignment horizontal="center"/>
    </xf>
    <xf numFmtId="0" fontId="9" fillId="2" borderId="1" xfId="0" applyFont="1" applyFill="1" applyBorder="1" applyAlignment="1">
      <alignment horizontal="center"/>
    </xf>
    <xf numFmtId="0" fontId="11" fillId="2" borderId="1" xfId="0" applyFont="1" applyFill="1" applyBorder="1" applyAlignment="1">
      <alignment horizontal="center"/>
    </xf>
    <xf numFmtId="0" fontId="13" fillId="0" borderId="0" xfId="0" applyFont="1"/>
    <xf numFmtId="0" fontId="10" fillId="0" borderId="0" xfId="0" applyFont="1" applyAlignment="1">
      <alignment horizontal="center"/>
    </xf>
    <xf numFmtId="164" fontId="11" fillId="0" borderId="0" xfId="0" applyNumberFormat="1" applyFont="1"/>
    <xf numFmtId="0" fontId="14" fillId="9" borderId="1" xfId="0" applyFont="1" applyFill="1" applyBorder="1" applyAlignment="1">
      <alignment horizontal="center"/>
    </xf>
    <xf numFmtId="2" fontId="11" fillId="8" borderId="1" xfId="0" applyNumberFormat="1" applyFont="1" applyFill="1" applyBorder="1" applyAlignment="1">
      <alignment horizontal="center"/>
    </xf>
    <xf numFmtId="2" fontId="11" fillId="10" borderId="1" xfId="0" applyNumberFormat="1" applyFont="1" applyFill="1" applyBorder="1" applyAlignment="1">
      <alignment horizontal="center"/>
    </xf>
    <xf numFmtId="166" fontId="11" fillId="3" borderId="1" xfId="0" applyNumberFormat="1" applyFont="1" applyFill="1" applyBorder="1" applyAlignment="1">
      <alignment horizontal="center"/>
    </xf>
    <xf numFmtId="0" fontId="9" fillId="0" borderId="0" xfId="0" applyFont="1" applyAlignment="1">
      <alignment horizontal="center"/>
    </xf>
    <xf numFmtId="0" fontId="9" fillId="0" borderId="0" xfId="0" applyFont="1"/>
    <xf numFmtId="0" fontId="11" fillId="0" borderId="0" xfId="0" applyFont="1" applyAlignment="1">
      <alignment horizontal="center"/>
    </xf>
    <xf numFmtId="14" fontId="11" fillId="0" borderId="0" xfId="0" applyNumberFormat="1" applyFont="1" applyAlignment="1">
      <alignment horizontal="center"/>
    </xf>
    <xf numFmtId="0" fontId="10" fillId="4" borderId="11" xfId="0" applyFont="1" applyFill="1" applyBorder="1" applyAlignment="1">
      <alignment horizontal="center"/>
    </xf>
    <xf numFmtId="164" fontId="10" fillId="4" borderId="11" xfId="0" applyNumberFormat="1" applyFont="1" applyFill="1" applyBorder="1" applyAlignment="1">
      <alignment horizontal="center"/>
    </xf>
    <xf numFmtId="0" fontId="10" fillId="4" borderId="5" xfId="0" applyFont="1" applyFill="1" applyBorder="1" applyAlignment="1">
      <alignment horizontal="center"/>
    </xf>
    <xf numFmtId="166" fontId="11" fillId="8" borderId="1" xfId="0" applyNumberFormat="1" applyFont="1" applyFill="1" applyBorder="1" applyAlignment="1">
      <alignment horizontal="center"/>
    </xf>
    <xf numFmtId="0" fontId="10" fillId="6" borderId="7" xfId="0" applyFont="1" applyFill="1" applyBorder="1" applyAlignment="1">
      <alignment horizontal="center"/>
    </xf>
    <xf numFmtId="0" fontId="10" fillId="6" borderId="6" xfId="0" applyFont="1" applyFill="1" applyBorder="1" applyAlignment="1">
      <alignment horizontal="center"/>
    </xf>
    <xf numFmtId="0" fontId="10" fillId="6" borderId="9" xfId="0" applyFont="1" applyFill="1" applyBorder="1" applyAlignment="1">
      <alignment horizontal="center"/>
    </xf>
    <xf numFmtId="3" fontId="10" fillId="6" borderId="1" xfId="0" applyNumberFormat="1" applyFont="1" applyFill="1" applyBorder="1" applyAlignment="1">
      <alignment horizontal="center"/>
    </xf>
    <xf numFmtId="0" fontId="10" fillId="6" borderId="1" xfId="0" applyFont="1" applyFill="1" applyBorder="1" applyAlignment="1">
      <alignment horizontal="center"/>
    </xf>
    <xf numFmtId="0" fontId="10" fillId="6" borderId="2" xfId="0" applyFont="1" applyFill="1" applyBorder="1" applyAlignment="1">
      <alignment horizontal="center"/>
    </xf>
    <xf numFmtId="0" fontId="10" fillId="6" borderId="1" xfId="0" quotePrefix="1" applyFont="1" applyFill="1" applyBorder="1" applyAlignment="1">
      <alignment horizontal="center"/>
    </xf>
    <xf numFmtId="0" fontId="11" fillId="0" borderId="2" xfId="0" applyFont="1" applyBorder="1" applyAlignment="1">
      <alignment horizontal="center"/>
    </xf>
    <xf numFmtId="166" fontId="11" fillId="0" borderId="2" xfId="0" applyNumberFormat="1" applyFont="1" applyBorder="1" applyAlignment="1">
      <alignment horizontal="center"/>
    </xf>
    <xf numFmtId="165" fontId="11" fillId="8" borderId="1" xfId="0" applyNumberFormat="1" applyFont="1" applyFill="1" applyBorder="1" applyAlignment="1">
      <alignment horizontal="center"/>
    </xf>
    <xf numFmtId="165" fontId="11" fillId="8" borderId="6" xfId="0" applyNumberFormat="1" applyFont="1" applyFill="1" applyBorder="1" applyAlignment="1">
      <alignment vertical="center"/>
    </xf>
    <xf numFmtId="0" fontId="11" fillId="8" borderId="10" xfId="0" applyFont="1" applyFill="1" applyBorder="1" applyAlignment="1">
      <alignment horizontal="center"/>
    </xf>
    <xf numFmtId="165" fontId="11" fillId="8" borderId="10" xfId="0" applyNumberFormat="1" applyFont="1" applyFill="1" applyBorder="1" applyAlignment="1">
      <alignment vertical="center"/>
    </xf>
    <xf numFmtId="165" fontId="11" fillId="8" borderId="10" xfId="0" applyNumberFormat="1" applyFont="1" applyFill="1" applyBorder="1" applyAlignment="1">
      <alignment horizontal="center" vertical="center"/>
    </xf>
    <xf numFmtId="165" fontId="11" fillId="8" borderId="10" xfId="0" applyNumberFormat="1" applyFont="1" applyFill="1" applyBorder="1" applyAlignment="1">
      <alignment horizontal="center"/>
    </xf>
    <xf numFmtId="0" fontId="9" fillId="5" borderId="1" xfId="0" applyFont="1" applyFill="1" applyBorder="1" applyAlignment="1">
      <alignment horizontal="center"/>
    </xf>
    <xf numFmtId="0" fontId="10" fillId="5" borderId="1" xfId="0" applyFont="1" applyFill="1" applyBorder="1" applyAlignment="1">
      <alignment horizontal="center"/>
    </xf>
    <xf numFmtId="166" fontId="11" fillId="5" borderId="1" xfId="0" applyNumberFormat="1" applyFont="1" applyFill="1" applyBorder="1" applyAlignment="1">
      <alignment horizontal="center"/>
    </xf>
    <xf numFmtId="165" fontId="11" fillId="8" borderId="5" xfId="0" applyNumberFormat="1" applyFont="1" applyFill="1" applyBorder="1" applyAlignment="1">
      <alignment vertical="center"/>
    </xf>
    <xf numFmtId="0" fontId="11" fillId="8" borderId="5" xfId="0" applyFont="1" applyFill="1" applyBorder="1" applyAlignment="1">
      <alignment horizontal="center"/>
    </xf>
    <xf numFmtId="166" fontId="11" fillId="0" borderId="0" xfId="0" applyNumberFormat="1" applyFont="1" applyAlignment="1">
      <alignment horizontal="center"/>
    </xf>
    <xf numFmtId="0" fontId="10" fillId="12" borderId="1" xfId="0" applyFont="1" applyFill="1" applyBorder="1" applyAlignment="1">
      <alignment horizontal="center"/>
    </xf>
    <xf numFmtId="0" fontId="11" fillId="12" borderId="1" xfId="0" applyFont="1" applyFill="1" applyBorder="1" applyAlignment="1">
      <alignment horizontal="center"/>
    </xf>
    <xf numFmtId="0" fontId="14" fillId="0" borderId="0" xfId="0" applyFont="1" applyAlignment="1">
      <alignment horizontal="center"/>
    </xf>
    <xf numFmtId="165" fontId="12" fillId="0" borderId="0" xfId="0" applyNumberFormat="1" applyFont="1" applyAlignment="1">
      <alignment horizontal="center"/>
    </xf>
    <xf numFmtId="165" fontId="12" fillId="0" borderId="0" xfId="0" applyNumberFormat="1" applyFont="1"/>
    <xf numFmtId="167" fontId="11" fillId="11" borderId="1" xfId="0" applyNumberFormat="1" applyFont="1" applyFill="1" applyBorder="1" applyAlignment="1">
      <alignment horizontal="center"/>
    </xf>
    <xf numFmtId="0" fontId="10" fillId="8" borderId="11" xfId="0" applyFont="1" applyFill="1" applyBorder="1" applyAlignment="1">
      <alignment horizontal="center"/>
    </xf>
    <xf numFmtId="0" fontId="10" fillId="8" borderId="13" xfId="0" applyFont="1" applyFill="1" applyBorder="1" applyAlignment="1">
      <alignment horizontal="center"/>
    </xf>
    <xf numFmtId="165" fontId="11" fillId="8" borderId="6" xfId="0" applyNumberFormat="1" applyFont="1" applyFill="1" applyBorder="1" applyAlignment="1">
      <alignment horizontal="center" vertical="center"/>
    </xf>
    <xf numFmtId="165" fontId="11" fillId="8" borderId="5" xfId="0" applyNumberFormat="1" applyFont="1" applyFill="1" applyBorder="1" applyAlignment="1">
      <alignment horizontal="center" vertical="center"/>
    </xf>
    <xf numFmtId="0" fontId="10" fillId="4" borderId="6" xfId="0" applyFont="1" applyFill="1" applyBorder="1" applyAlignment="1">
      <alignment horizontal="center" vertical="center"/>
    </xf>
    <xf numFmtId="0" fontId="10" fillId="4" borderId="5" xfId="0" applyFont="1" applyFill="1" applyBorder="1" applyAlignment="1">
      <alignment horizontal="center" vertic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0" fillId="8" borderId="7" xfId="0" applyFont="1" applyFill="1" applyBorder="1" applyAlignment="1">
      <alignment horizontal="center"/>
    </xf>
    <xf numFmtId="0" fontId="10" fillId="8" borderId="12" xfId="0" applyFont="1" applyFill="1" applyBorder="1" applyAlignment="1">
      <alignment horizontal="center"/>
    </xf>
    <xf numFmtId="0" fontId="11" fillId="0" borderId="1" xfId="0" applyFont="1" applyBorder="1" applyAlignment="1">
      <alignment horizontal="center"/>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0" fontId="10" fillId="4" borderId="0" xfId="0" applyFont="1" applyFill="1" applyAlignment="1">
      <alignment horizontal="center"/>
    </xf>
    <xf numFmtId="0" fontId="10" fillId="4" borderId="1" xfId="0" applyFont="1" applyFill="1" applyBorder="1" applyAlignment="1">
      <alignment horizontal="center"/>
    </xf>
    <xf numFmtId="3" fontId="10" fillId="4" borderId="6" xfId="0" applyNumberFormat="1" applyFont="1" applyFill="1" applyBorder="1" applyAlignment="1">
      <alignment horizontal="center" vertical="center"/>
    </xf>
    <xf numFmtId="3" fontId="10" fillId="4" borderId="5" xfId="0" applyNumberFormat="1" applyFont="1" applyFill="1" applyBorder="1" applyAlignment="1">
      <alignment horizontal="center" vertical="center"/>
    </xf>
    <xf numFmtId="165" fontId="12" fillId="9" borderId="1" xfId="0" applyNumberFormat="1" applyFont="1" applyFill="1" applyBorder="1" applyAlignment="1">
      <alignment horizontal="center"/>
    </xf>
    <xf numFmtId="0" fontId="9" fillId="3" borderId="2" xfId="0" applyFont="1" applyFill="1" applyBorder="1" applyAlignment="1">
      <alignment horizontal="center"/>
    </xf>
    <xf numFmtId="0" fontId="9" fillId="3" borderId="3" xfId="0" applyFont="1" applyFill="1" applyBorder="1" applyAlignment="1">
      <alignment horizontal="center"/>
    </xf>
    <xf numFmtId="0" fontId="9" fillId="3" borderId="4" xfId="0" applyFont="1" applyFill="1" applyBorder="1" applyAlignment="1">
      <alignment horizontal="center"/>
    </xf>
    <xf numFmtId="0" fontId="10" fillId="8" borderId="7"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3" xfId="0" applyFont="1" applyFill="1" applyBorder="1" applyAlignment="1">
      <alignment horizontal="center" vertical="center"/>
    </xf>
    <xf numFmtId="2" fontId="10" fillId="0" borderId="1" xfId="0" applyNumberFormat="1" applyFont="1" applyBorder="1" applyAlignment="1">
      <alignment horizontal="center"/>
    </xf>
    <xf numFmtId="168" fontId="11" fillId="8" borderId="6" xfId="0" applyNumberFormat="1" applyFont="1" applyFill="1" applyBorder="1" applyAlignment="1">
      <alignment horizontal="center" vertical="center"/>
    </xf>
    <xf numFmtId="168" fontId="11" fillId="8" borderId="5" xfId="0" applyNumberFormat="1" applyFont="1" applyFill="1" applyBorder="1" applyAlignment="1">
      <alignment horizontal="center" vertical="center"/>
    </xf>
    <xf numFmtId="0" fontId="11" fillId="3" borderId="1" xfId="0" applyFont="1" applyFill="1" applyBorder="1" applyAlignment="1">
      <alignment horizontal="center"/>
    </xf>
    <xf numFmtId="3" fontId="10" fillId="6" borderId="6"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10" fillId="6" borderId="6" xfId="0" applyFont="1" applyFill="1" applyBorder="1" applyAlignment="1">
      <alignment horizontal="center" vertical="center"/>
    </xf>
    <xf numFmtId="0" fontId="10" fillId="6" borderId="5" xfId="0" applyFont="1" applyFill="1" applyBorder="1" applyAlignment="1">
      <alignment horizontal="center" vertical="center"/>
    </xf>
    <xf numFmtId="0" fontId="10" fillId="7" borderId="1" xfId="0" applyFont="1" applyFill="1" applyBorder="1" applyAlignment="1">
      <alignment horizontal="center"/>
    </xf>
    <xf numFmtId="0" fontId="10" fillId="7" borderId="2" xfId="0" applyFont="1" applyFill="1" applyBorder="1" applyAlignment="1">
      <alignment horizontal="center"/>
    </xf>
    <xf numFmtId="0" fontId="10" fillId="7" borderId="3" xfId="0" applyFont="1" applyFill="1" applyBorder="1" applyAlignment="1">
      <alignment horizontal="center"/>
    </xf>
    <xf numFmtId="0" fontId="10" fillId="7" borderId="4" xfId="0" applyFont="1" applyFill="1" applyBorder="1" applyAlignment="1">
      <alignment horizontal="center"/>
    </xf>
    <xf numFmtId="0" fontId="11" fillId="5" borderId="2" xfId="0" applyFont="1" applyFill="1" applyBorder="1" applyAlignment="1">
      <alignment horizontal="center"/>
    </xf>
    <xf numFmtId="0" fontId="11" fillId="5" borderId="4" xfId="0" applyFont="1" applyFill="1" applyBorder="1" applyAlignment="1">
      <alignment horizontal="center"/>
    </xf>
    <xf numFmtId="0" fontId="11" fillId="5" borderId="1" xfId="0" applyFont="1" applyFill="1" applyBorder="1" applyAlignment="1">
      <alignment horizontal="center"/>
    </xf>
    <xf numFmtId="0" fontId="9" fillId="5" borderId="1" xfId="0" applyFont="1" applyFill="1" applyBorder="1" applyAlignment="1">
      <alignment horizontal="center"/>
    </xf>
    <xf numFmtId="165" fontId="12" fillId="9" borderId="2" xfId="0" applyNumberFormat="1" applyFont="1" applyFill="1" applyBorder="1" applyAlignment="1">
      <alignment horizontal="center"/>
    </xf>
    <xf numFmtId="165" fontId="12" fillId="9" borderId="3" xfId="0" applyNumberFormat="1" applyFont="1" applyFill="1" applyBorder="1" applyAlignment="1">
      <alignment horizontal="center"/>
    </xf>
    <xf numFmtId="165" fontId="12" fillId="9" borderId="4" xfId="0" applyNumberFormat="1" applyFont="1" applyFill="1" applyBorder="1" applyAlignment="1">
      <alignment horizontal="center"/>
    </xf>
    <xf numFmtId="0" fontId="17" fillId="0" borderId="1" xfId="0" applyFont="1" applyBorder="1" applyAlignment="1">
      <alignment horizontal="center"/>
    </xf>
    <xf numFmtId="0" fontId="14" fillId="0" borderId="1"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B6C1"/>
      <color rgb="FF90EE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6234E-8E7F-42F0-8E83-CABF27D45AB7}">
  <dimension ref="A1:AI949"/>
  <sheetViews>
    <sheetView tabSelected="1" topLeftCell="C1" zoomScale="78" zoomScaleNormal="130" workbookViewId="0">
      <selection activeCell="I20" sqref="I20"/>
    </sheetView>
  </sheetViews>
  <sheetFormatPr defaultRowHeight="14.5" x14ac:dyDescent="0.35"/>
  <cols>
    <col min="1" max="1" width="12.36328125" bestFit="1" customWidth="1"/>
    <col min="2" max="2" width="12.81640625" bestFit="1" customWidth="1"/>
    <col min="3" max="3" width="27.1796875" bestFit="1" customWidth="1"/>
    <col min="4" max="4" width="17.1796875" bestFit="1" customWidth="1"/>
    <col min="5" max="5" width="13.6328125" bestFit="1" customWidth="1"/>
    <col min="6" max="6" width="20.36328125" customWidth="1"/>
    <col min="7" max="7" width="31.7265625" customWidth="1"/>
    <col min="12" max="12" width="16.1796875" bestFit="1" customWidth="1"/>
    <col min="13" max="13" width="36.1796875" bestFit="1" customWidth="1"/>
    <col min="14" max="14" width="22.08984375" customWidth="1"/>
    <col min="15" max="15" width="24.81640625" customWidth="1"/>
    <col min="16" max="16" width="28.36328125" bestFit="1" customWidth="1"/>
    <col min="17" max="17" width="30.7265625" bestFit="1" customWidth="1"/>
    <col min="18" max="18" width="18.54296875" bestFit="1" customWidth="1"/>
    <col min="19" max="19" width="16.1796875" bestFit="1" customWidth="1"/>
  </cols>
  <sheetData>
    <row r="1" spans="1:35" ht="15.5" x14ac:dyDescent="0.35">
      <c r="A1" s="31" t="s">
        <v>1</v>
      </c>
      <c r="B1" s="3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x14ac:dyDescent="0.3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x14ac:dyDescent="0.35">
      <c r="A3" s="1"/>
      <c r="B3" s="2"/>
      <c r="C3" s="2"/>
      <c r="D3" s="6"/>
      <c r="E3" s="6"/>
      <c r="F3" s="6"/>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ht="15.5" x14ac:dyDescent="0.35">
      <c r="A4" s="1"/>
      <c r="B4" s="3"/>
      <c r="C4" s="4"/>
      <c r="D4" s="5"/>
      <c r="E4" s="5"/>
      <c r="F4" s="5"/>
      <c r="G4" s="1"/>
      <c r="H4" s="1"/>
      <c r="I4" s="1"/>
      <c r="J4" s="1"/>
      <c r="K4" s="92" t="s">
        <v>10</v>
      </c>
      <c r="L4" s="79" t="s">
        <v>15</v>
      </c>
      <c r="M4" s="19" t="s">
        <v>40</v>
      </c>
      <c r="N4" s="87" t="s">
        <v>85</v>
      </c>
      <c r="O4" s="88"/>
      <c r="P4" s="79" t="s">
        <v>77</v>
      </c>
      <c r="Q4" s="19" t="s">
        <v>87</v>
      </c>
      <c r="R4" s="79" t="s">
        <v>24</v>
      </c>
      <c r="S4" s="79" t="s">
        <v>25</v>
      </c>
      <c r="T4" s="1"/>
      <c r="U4" s="1"/>
      <c r="V4" s="1"/>
      <c r="W4" s="1"/>
      <c r="X4" s="1"/>
      <c r="Y4" s="1"/>
      <c r="Z4" s="1"/>
      <c r="AA4" s="1"/>
      <c r="AB4" s="1"/>
      <c r="AC4" s="1"/>
      <c r="AD4" s="1"/>
      <c r="AE4" s="1"/>
      <c r="AF4" s="1"/>
      <c r="AG4" s="1"/>
      <c r="AH4" s="1"/>
      <c r="AI4" s="1"/>
    </row>
    <row r="5" spans="1:35" ht="15.5" x14ac:dyDescent="0.35">
      <c r="A5" s="1"/>
      <c r="B5" s="3"/>
      <c r="H5" s="1"/>
      <c r="I5" s="1"/>
      <c r="J5" s="1"/>
      <c r="K5" s="93"/>
      <c r="L5" s="80"/>
      <c r="M5" s="21" t="s">
        <v>86</v>
      </c>
      <c r="N5" s="89" t="s">
        <v>89</v>
      </c>
      <c r="O5" s="90"/>
      <c r="P5" s="80"/>
      <c r="Q5" s="21" t="s">
        <v>88</v>
      </c>
      <c r="R5" s="80"/>
      <c r="S5" s="80"/>
      <c r="T5" s="1"/>
      <c r="U5" s="1"/>
      <c r="V5" s="1"/>
      <c r="W5" s="1"/>
      <c r="X5" s="1"/>
      <c r="Y5" s="1"/>
      <c r="Z5" s="1"/>
      <c r="AA5" s="1"/>
      <c r="AB5" s="1"/>
      <c r="AC5" s="1"/>
      <c r="AD5" s="1"/>
      <c r="AE5" s="1"/>
      <c r="AF5" s="1"/>
      <c r="AG5" s="1"/>
      <c r="AH5" s="1"/>
      <c r="AI5" s="1"/>
    </row>
    <row r="6" spans="1:35" ht="15.5" x14ac:dyDescent="0.35">
      <c r="A6" s="1"/>
      <c r="B6" s="3"/>
      <c r="H6" s="1"/>
      <c r="I6" s="1"/>
      <c r="J6" s="1"/>
      <c r="K6" s="22" t="s">
        <v>14</v>
      </c>
      <c r="L6" s="23" t="s">
        <v>18</v>
      </c>
      <c r="M6" s="23" t="s">
        <v>18</v>
      </c>
      <c r="N6" s="91" t="s">
        <v>21</v>
      </c>
      <c r="O6" s="91"/>
      <c r="P6" s="23"/>
      <c r="Q6" s="24" t="s">
        <v>31</v>
      </c>
      <c r="R6" s="23"/>
      <c r="S6" s="24" t="s">
        <v>31</v>
      </c>
      <c r="T6" s="1"/>
      <c r="U6" s="1"/>
      <c r="V6" s="1"/>
      <c r="W6" s="1"/>
      <c r="X6" s="1"/>
      <c r="Y6" s="1"/>
      <c r="Z6" s="1"/>
      <c r="AA6" s="1"/>
      <c r="AB6" s="1"/>
      <c r="AC6" s="1"/>
      <c r="AD6" s="1"/>
      <c r="AE6" s="1"/>
      <c r="AF6" s="1"/>
      <c r="AG6" s="1"/>
      <c r="AH6" s="1"/>
      <c r="AI6" s="1"/>
    </row>
    <row r="7" spans="1:35" ht="15.5" x14ac:dyDescent="0.35">
      <c r="A7" s="1"/>
      <c r="B7" s="3"/>
      <c r="H7" s="1"/>
      <c r="I7" s="1"/>
      <c r="J7" s="1"/>
      <c r="K7" s="25">
        <v>0</v>
      </c>
      <c r="L7" s="26">
        <f>issue_date</f>
        <v>45495</v>
      </c>
      <c r="M7" s="26">
        <f t="shared" ref="M7:M49" si="0">DATE(YEAR(L7), MONTH(L7)-time_lag, DAY(L7))</f>
        <v>45404</v>
      </c>
      <c r="N7" s="86">
        <v>3</v>
      </c>
      <c r="O7" s="86"/>
      <c r="P7" s="28">
        <f t="shared" ref="P7:P49" si="1">last_RPI*(1+q)^(N7/12)</f>
        <v>382.63890461417685</v>
      </c>
      <c r="Q7" s="28">
        <f>-SUM(S8:S49)</f>
        <v>-257.003413308218</v>
      </c>
      <c r="R7" s="28">
        <f t="shared" ref="R7:R49" si="2">(1+i)^(-1*K7)</f>
        <v>1</v>
      </c>
      <c r="S7" s="37">
        <f>Q7*R7</f>
        <v>-257.003413308218</v>
      </c>
      <c r="T7" s="1"/>
      <c r="U7" s="1"/>
      <c r="V7" s="1"/>
      <c r="W7" s="1"/>
      <c r="X7" s="1"/>
      <c r="Y7" s="1"/>
      <c r="Z7" s="1"/>
      <c r="AA7" s="1"/>
      <c r="AB7" s="1"/>
      <c r="AC7" s="1"/>
      <c r="AD7" s="1"/>
      <c r="AE7" s="1"/>
      <c r="AF7" s="1"/>
      <c r="AG7" s="1"/>
      <c r="AH7" s="1"/>
      <c r="AI7" s="1"/>
    </row>
    <row r="8" spans="1:35" ht="15.5" x14ac:dyDescent="0.35">
      <c r="A8" s="1"/>
      <c r="B8" s="3"/>
      <c r="C8" s="3"/>
      <c r="D8" s="8"/>
      <c r="E8" s="5"/>
      <c r="F8" s="5"/>
      <c r="G8" s="5"/>
      <c r="H8" s="1"/>
      <c r="I8" s="1"/>
      <c r="J8" s="1"/>
      <c r="K8" s="27">
        <v>0.5</v>
      </c>
      <c r="L8" s="30">
        <f xml:space="preserve"> DATE(YEAR(L7), MONTH(L7)+6, DAY(L7))</f>
        <v>45679</v>
      </c>
      <c r="M8" s="30">
        <f t="shared" si="0"/>
        <v>45587</v>
      </c>
      <c r="N8" s="86">
        <f>N7+6</f>
        <v>9</v>
      </c>
      <c r="O8" s="86"/>
      <c r="P8" s="28">
        <f t="shared" si="1"/>
        <v>392.08820167221808</v>
      </c>
      <c r="Q8" s="28">
        <f t="shared" ref="Q8:Q48" si="3">nominal_coupon*P8/base_RPI</f>
        <v>2.113433595479167</v>
      </c>
      <c r="R8" s="28">
        <f t="shared" si="2"/>
        <v>0.98532927816429317</v>
      </c>
      <c r="S8" s="29">
        <f t="shared" ref="S8:S48" si="4">Q8*R8</f>
        <v>2.0824279990816543</v>
      </c>
      <c r="T8" s="1"/>
      <c r="U8" s="1"/>
      <c r="V8" s="1"/>
      <c r="W8" s="1"/>
      <c r="X8" s="1"/>
      <c r="Y8" s="1"/>
      <c r="Z8" s="1"/>
      <c r="AA8" s="1"/>
      <c r="AB8" s="1"/>
      <c r="AC8" s="1"/>
      <c r="AD8" s="1"/>
      <c r="AE8" s="1"/>
      <c r="AF8" s="1"/>
      <c r="AG8" s="1"/>
      <c r="AH8" s="1"/>
      <c r="AI8" s="1"/>
    </row>
    <row r="9" spans="1:35" ht="15.5" x14ac:dyDescent="0.35">
      <c r="A9" s="1"/>
      <c r="B9" s="3"/>
      <c r="C9" s="33"/>
      <c r="D9" s="33"/>
      <c r="E9" s="33"/>
      <c r="F9" s="33"/>
      <c r="G9" s="33"/>
      <c r="H9" s="16"/>
      <c r="I9" s="1"/>
      <c r="J9" s="1"/>
      <c r="K9" s="27">
        <v>1</v>
      </c>
      <c r="L9" s="30">
        <f t="shared" ref="L9:L49" si="5" xml:space="preserve"> DATE(YEAR(L8), MONTH(L8)+6, DAY(L8))</f>
        <v>45860</v>
      </c>
      <c r="M9" s="30">
        <f t="shared" si="0"/>
        <v>45769</v>
      </c>
      <c r="N9" s="86">
        <f>N8+6</f>
        <v>15</v>
      </c>
      <c r="O9" s="86"/>
      <c r="P9" s="28">
        <f t="shared" si="1"/>
        <v>401.77084984488573</v>
      </c>
      <c r="Q9" s="28">
        <f t="shared" si="3"/>
        <v>2.1656250000000004</v>
      </c>
      <c r="R9" s="28">
        <f t="shared" si="2"/>
        <v>0.970873786407767</v>
      </c>
      <c r="S9" s="29">
        <f t="shared" si="4"/>
        <v>2.1025485436893208</v>
      </c>
      <c r="T9" s="1"/>
      <c r="U9" s="1"/>
      <c r="V9" s="1"/>
      <c r="W9" s="1"/>
      <c r="X9" s="1"/>
      <c r="Y9" s="1"/>
      <c r="Z9" s="1"/>
      <c r="AA9" s="1"/>
      <c r="AB9" s="1"/>
      <c r="AC9" s="1"/>
      <c r="AD9" s="1"/>
      <c r="AE9" s="1"/>
      <c r="AF9" s="1"/>
      <c r="AG9" s="1"/>
      <c r="AH9" s="1"/>
      <c r="AI9" s="1"/>
    </row>
    <row r="10" spans="1:35" ht="15.5" x14ac:dyDescent="0.35">
      <c r="A10" s="1"/>
      <c r="B10" s="3"/>
      <c r="C10" s="33"/>
      <c r="D10" s="33"/>
      <c r="E10" s="33"/>
      <c r="F10" s="33"/>
      <c r="G10" s="33"/>
      <c r="H10" s="16"/>
      <c r="I10" s="1"/>
      <c r="J10" s="1"/>
      <c r="K10" s="27">
        <v>1.5</v>
      </c>
      <c r="L10" s="30">
        <f t="shared" si="5"/>
        <v>46044</v>
      </c>
      <c r="M10" s="30">
        <f t="shared" si="0"/>
        <v>45952</v>
      </c>
      <c r="N10" s="86">
        <f t="shared" ref="N10:N14" si="6">N9+6</f>
        <v>21</v>
      </c>
      <c r="O10" s="86"/>
      <c r="P10" s="28">
        <f t="shared" si="1"/>
        <v>411.69261175582903</v>
      </c>
      <c r="Q10" s="28">
        <f t="shared" si="3"/>
        <v>2.2191052752531255</v>
      </c>
      <c r="R10" s="28">
        <f t="shared" si="2"/>
        <v>0.9566303671497991</v>
      </c>
      <c r="S10" s="29">
        <f t="shared" si="4"/>
        <v>2.1228634942094535</v>
      </c>
      <c r="T10" s="1"/>
      <c r="U10" s="1"/>
      <c r="V10" s="1"/>
      <c r="W10" s="1"/>
      <c r="X10" s="1"/>
      <c r="Y10" s="1"/>
      <c r="Z10" s="1"/>
      <c r="AA10" s="1"/>
      <c r="AB10" s="1"/>
      <c r="AC10" s="1"/>
      <c r="AD10" s="1"/>
      <c r="AE10" s="1"/>
      <c r="AF10" s="1"/>
      <c r="AG10" s="1"/>
      <c r="AH10" s="1"/>
      <c r="AI10" s="1"/>
    </row>
    <row r="11" spans="1:35" ht="15.5" x14ac:dyDescent="0.35">
      <c r="A11" s="1"/>
      <c r="B11" s="3"/>
      <c r="C11" s="34"/>
      <c r="D11" s="35"/>
      <c r="E11" s="16"/>
      <c r="F11" s="16"/>
      <c r="G11" s="16"/>
      <c r="H11" s="16"/>
      <c r="I11" s="1"/>
      <c r="J11" s="1"/>
      <c r="K11" s="27">
        <v>2</v>
      </c>
      <c r="L11" s="30">
        <f t="shared" si="5"/>
        <v>46225</v>
      </c>
      <c r="M11" s="30">
        <f t="shared" si="0"/>
        <v>46134</v>
      </c>
      <c r="N11" s="86">
        <f t="shared" si="6"/>
        <v>27</v>
      </c>
      <c r="O11" s="86"/>
      <c r="P11" s="28">
        <f t="shared" si="1"/>
        <v>421.85939233713003</v>
      </c>
      <c r="Q11" s="28">
        <f t="shared" si="3"/>
        <v>2.2739062500000005</v>
      </c>
      <c r="R11" s="28">
        <f t="shared" si="2"/>
        <v>0.94259590913375435</v>
      </c>
      <c r="S11" s="29">
        <f t="shared" si="4"/>
        <v>2.1433747290036766</v>
      </c>
      <c r="T11" s="1"/>
      <c r="U11" s="1"/>
      <c r="V11" s="1"/>
      <c r="W11" s="1"/>
      <c r="X11" s="1"/>
      <c r="Y11" s="1"/>
      <c r="Z11" s="1"/>
      <c r="AA11" s="1"/>
      <c r="AB11" s="1"/>
      <c r="AC11" s="1"/>
      <c r="AD11" s="1"/>
      <c r="AE11" s="1"/>
      <c r="AF11" s="1"/>
      <c r="AG11" s="1"/>
      <c r="AH11" s="1"/>
      <c r="AI11" s="1"/>
    </row>
    <row r="12" spans="1:35" ht="15.5" x14ac:dyDescent="0.35">
      <c r="A12" s="1"/>
      <c r="B12" s="3"/>
      <c r="C12" s="10" t="s">
        <v>2</v>
      </c>
      <c r="D12" s="10" t="s">
        <v>3</v>
      </c>
      <c r="E12" s="95" t="s">
        <v>4</v>
      </c>
      <c r="F12" s="96"/>
      <c r="G12" s="97"/>
      <c r="H12" s="16"/>
      <c r="I12" s="1"/>
      <c r="J12" s="1"/>
      <c r="K12" s="27">
        <v>2.5</v>
      </c>
      <c r="L12" s="30">
        <f t="shared" si="5"/>
        <v>46409</v>
      </c>
      <c r="M12" s="30">
        <f t="shared" si="0"/>
        <v>46317</v>
      </c>
      <c r="N12" s="86">
        <f t="shared" si="6"/>
        <v>33</v>
      </c>
      <c r="O12" s="86"/>
      <c r="P12" s="28">
        <f t="shared" si="1"/>
        <v>432.27724234362051</v>
      </c>
      <c r="Q12" s="28">
        <f t="shared" si="3"/>
        <v>2.3300605390157818</v>
      </c>
      <c r="R12" s="28">
        <f t="shared" si="2"/>
        <v>0.92876734674737782</v>
      </c>
      <c r="S12" s="29">
        <f t="shared" si="4"/>
        <v>2.1640841445824526</v>
      </c>
      <c r="T12" s="1"/>
      <c r="U12" s="1"/>
      <c r="V12" s="1"/>
      <c r="W12" s="1"/>
      <c r="X12" s="1"/>
      <c r="Y12" s="1"/>
      <c r="Z12" s="1"/>
      <c r="AA12" s="1"/>
      <c r="AB12" s="1"/>
      <c r="AC12" s="1"/>
      <c r="AD12" s="1"/>
      <c r="AE12" s="1"/>
      <c r="AF12" s="1"/>
      <c r="AG12" s="1"/>
      <c r="AH12" s="1"/>
      <c r="AI12" s="1"/>
    </row>
    <row r="13" spans="1:35" ht="15.5" x14ac:dyDescent="0.35">
      <c r="A13" s="1"/>
      <c r="B13" s="3"/>
      <c r="C13" s="11" t="s">
        <v>13</v>
      </c>
      <c r="D13" s="12">
        <v>45495</v>
      </c>
      <c r="E13" s="81" t="s">
        <v>16</v>
      </c>
      <c r="F13" s="82"/>
      <c r="G13" s="83"/>
      <c r="H13" s="16"/>
      <c r="I13" s="1"/>
      <c r="J13" s="1"/>
      <c r="K13" s="27">
        <v>3</v>
      </c>
      <c r="L13" s="30">
        <f t="shared" si="5"/>
        <v>46590</v>
      </c>
      <c r="M13" s="30">
        <f t="shared" si="0"/>
        <v>46499</v>
      </c>
      <c r="N13" s="86">
        <f t="shared" si="6"/>
        <v>39</v>
      </c>
      <c r="O13" s="86"/>
      <c r="P13" s="28">
        <f t="shared" si="1"/>
        <v>442.95236195398655</v>
      </c>
      <c r="Q13" s="28">
        <f t="shared" si="3"/>
        <v>2.3876015625000004</v>
      </c>
      <c r="R13" s="28">
        <f t="shared" si="2"/>
        <v>0.91514165935315961</v>
      </c>
      <c r="S13" s="29">
        <f t="shared" si="4"/>
        <v>2.1849936557804472</v>
      </c>
      <c r="T13" s="1"/>
      <c r="U13" s="1"/>
      <c r="V13" s="1"/>
      <c r="W13" s="1"/>
      <c r="X13" s="1"/>
      <c r="Y13" s="1"/>
      <c r="Z13" s="1"/>
      <c r="AA13" s="1"/>
      <c r="AB13" s="1"/>
      <c r="AC13" s="1"/>
      <c r="AD13" s="1"/>
      <c r="AE13" s="1"/>
      <c r="AF13" s="1"/>
      <c r="AG13" s="1"/>
      <c r="AH13" s="1"/>
      <c r="AI13" s="1"/>
    </row>
    <row r="14" spans="1:35" ht="15.5" x14ac:dyDescent="0.35">
      <c r="A14" s="1"/>
      <c r="B14" s="3"/>
      <c r="C14" s="11" t="s">
        <v>12</v>
      </c>
      <c r="D14" s="12">
        <v>53165</v>
      </c>
      <c r="E14" s="81" t="s">
        <v>17</v>
      </c>
      <c r="F14" s="82"/>
      <c r="G14" s="83"/>
      <c r="H14" s="16"/>
      <c r="I14" s="1"/>
      <c r="J14" s="1"/>
      <c r="K14" s="27">
        <v>3.5</v>
      </c>
      <c r="L14" s="30">
        <f t="shared" si="5"/>
        <v>46774</v>
      </c>
      <c r="M14" s="30">
        <f t="shared" si="0"/>
        <v>46682</v>
      </c>
      <c r="N14" s="86">
        <f t="shared" si="6"/>
        <v>45</v>
      </c>
      <c r="O14" s="86"/>
      <c r="P14" s="28">
        <f t="shared" si="1"/>
        <v>453.89110446080161</v>
      </c>
      <c r="Q14" s="28">
        <f t="shared" si="3"/>
        <v>2.4465635659665717</v>
      </c>
      <c r="R14" s="28">
        <f t="shared" si="2"/>
        <v>0.9017158706285221</v>
      </c>
      <c r="S14" s="29">
        <f t="shared" si="4"/>
        <v>2.2061051959335689</v>
      </c>
      <c r="T14" s="1"/>
      <c r="U14" s="1"/>
      <c r="V14" s="1"/>
      <c r="W14" s="1"/>
      <c r="X14" s="1"/>
      <c r="Y14" s="1"/>
      <c r="Z14" s="1"/>
      <c r="AA14" s="1"/>
      <c r="AB14" s="1"/>
      <c r="AC14" s="1"/>
      <c r="AD14" s="1"/>
      <c r="AE14" s="1"/>
      <c r="AF14" s="1"/>
      <c r="AG14" s="1"/>
      <c r="AH14" s="1"/>
      <c r="AI14" s="1"/>
    </row>
    <row r="15" spans="1:35" ht="15.5" x14ac:dyDescent="0.35">
      <c r="A15" s="1"/>
      <c r="B15" s="3"/>
      <c r="C15" s="11" t="s">
        <v>11</v>
      </c>
      <c r="D15" s="13">
        <v>378</v>
      </c>
      <c r="E15" s="81" t="s">
        <v>5</v>
      </c>
      <c r="F15" s="82"/>
      <c r="G15" s="83"/>
      <c r="H15" s="16"/>
      <c r="I15" s="1"/>
      <c r="J15" s="1"/>
      <c r="K15" s="27">
        <v>4</v>
      </c>
      <c r="L15" s="30">
        <f t="shared" si="5"/>
        <v>46956</v>
      </c>
      <c r="M15" s="30">
        <f t="shared" si="0"/>
        <v>46865</v>
      </c>
      <c r="N15" s="86">
        <f t="shared" ref="N15:N49" si="7">N14+6</f>
        <v>51</v>
      </c>
      <c r="O15" s="86"/>
      <c r="P15" s="28">
        <f t="shared" si="1"/>
        <v>465.09998005168592</v>
      </c>
      <c r="Q15" s="28">
        <f t="shared" si="3"/>
        <v>2.5069816406250007</v>
      </c>
      <c r="R15" s="28">
        <f t="shared" si="2"/>
        <v>0.888487047915689</v>
      </c>
      <c r="S15" s="29">
        <f t="shared" si="4"/>
        <v>2.2274207170577376</v>
      </c>
      <c r="T15" s="1"/>
      <c r="U15" s="1"/>
      <c r="V15" s="1"/>
      <c r="W15" s="1"/>
      <c r="X15" s="1"/>
      <c r="Y15" s="1"/>
      <c r="Z15" s="1"/>
      <c r="AA15" s="1"/>
      <c r="AB15" s="1"/>
      <c r="AC15" s="1"/>
      <c r="AD15" s="1"/>
      <c r="AE15" s="1"/>
      <c r="AF15" s="1"/>
      <c r="AG15" s="1"/>
      <c r="AH15" s="1"/>
      <c r="AI15" s="1"/>
    </row>
    <row r="16" spans="1:35" ht="15.5" x14ac:dyDescent="0.35">
      <c r="A16" s="1"/>
      <c r="B16" s="1"/>
      <c r="C16" s="11" t="s">
        <v>7</v>
      </c>
      <c r="D16" s="13">
        <v>3</v>
      </c>
      <c r="E16" s="81" t="s">
        <v>19</v>
      </c>
      <c r="F16" s="82"/>
      <c r="G16" s="83"/>
      <c r="H16" s="16"/>
      <c r="I16" s="1"/>
      <c r="J16" s="1"/>
      <c r="K16" s="27">
        <v>4.5</v>
      </c>
      <c r="L16" s="30">
        <f t="shared" si="5"/>
        <v>47140</v>
      </c>
      <c r="M16" s="30">
        <f t="shared" si="0"/>
        <v>47048</v>
      </c>
      <c r="N16" s="86">
        <f t="shared" si="7"/>
        <v>57</v>
      </c>
      <c r="O16" s="86"/>
      <c r="P16" s="28">
        <f t="shared" si="1"/>
        <v>476.5856596838417</v>
      </c>
      <c r="Q16" s="28">
        <f t="shared" si="3"/>
        <v>2.5688917442649002</v>
      </c>
      <c r="R16" s="28">
        <f t="shared" si="2"/>
        <v>0.87545230158108933</v>
      </c>
      <c r="S16" s="29">
        <f t="shared" si="4"/>
        <v>2.248942190029366</v>
      </c>
      <c r="T16" s="1"/>
      <c r="U16" s="1"/>
      <c r="V16" s="1"/>
      <c r="W16" s="1"/>
      <c r="X16" s="1"/>
      <c r="Y16" s="1"/>
      <c r="Z16" s="1"/>
      <c r="AA16" s="1"/>
      <c r="AB16" s="1"/>
      <c r="AC16" s="1"/>
      <c r="AD16" s="1"/>
      <c r="AE16" s="1"/>
      <c r="AF16" s="1"/>
      <c r="AG16" s="1"/>
      <c r="AH16" s="1"/>
      <c r="AI16" s="1"/>
    </row>
    <row r="17" spans="1:35" ht="15.5" x14ac:dyDescent="0.35">
      <c r="A17" s="1"/>
      <c r="B17" s="1"/>
      <c r="C17" s="11" t="s">
        <v>6</v>
      </c>
      <c r="D17" s="13">
        <v>0.05</v>
      </c>
      <c r="E17" s="81" t="s">
        <v>20</v>
      </c>
      <c r="F17" s="82"/>
      <c r="G17" s="83"/>
      <c r="H17" s="16"/>
      <c r="I17" s="1"/>
      <c r="J17" s="1"/>
      <c r="K17" s="27">
        <v>5</v>
      </c>
      <c r="L17" s="30">
        <f t="shared" si="5"/>
        <v>47321</v>
      </c>
      <c r="M17" s="30">
        <f t="shared" si="0"/>
        <v>47230</v>
      </c>
      <c r="N17" s="86">
        <f t="shared" si="7"/>
        <v>63</v>
      </c>
      <c r="O17" s="86"/>
      <c r="P17" s="28">
        <f t="shared" si="1"/>
        <v>488.35497905427025</v>
      </c>
      <c r="Q17" s="28">
        <f t="shared" si="3"/>
        <v>2.6323307226562509</v>
      </c>
      <c r="R17" s="28">
        <f t="shared" si="2"/>
        <v>0.86260878438416411</v>
      </c>
      <c r="S17" s="29">
        <f t="shared" si="4"/>
        <v>2.270671604767597</v>
      </c>
      <c r="T17" s="1"/>
      <c r="U17" s="1"/>
      <c r="V17" s="1"/>
      <c r="W17" s="1"/>
      <c r="X17" s="1"/>
      <c r="Y17" s="1"/>
      <c r="Z17" s="1"/>
      <c r="AA17" s="1"/>
      <c r="AB17" s="1"/>
      <c r="AC17" s="1"/>
      <c r="AD17" s="1"/>
      <c r="AE17" s="1"/>
      <c r="AF17" s="1"/>
      <c r="AG17" s="1"/>
      <c r="AH17" s="1"/>
      <c r="AI17" s="1"/>
    </row>
    <row r="18" spans="1:35" ht="15.5" x14ac:dyDescent="0.35">
      <c r="A18" s="1"/>
      <c r="B18" s="1"/>
      <c r="C18" s="11" t="s">
        <v>8</v>
      </c>
      <c r="D18" s="13">
        <v>0.03</v>
      </c>
      <c r="E18" s="81" t="s">
        <v>9</v>
      </c>
      <c r="F18" s="82"/>
      <c r="G18" s="83"/>
      <c r="H18" s="16"/>
      <c r="I18" s="1"/>
      <c r="J18" s="1"/>
      <c r="K18" s="27">
        <v>5.5</v>
      </c>
      <c r="L18" s="30">
        <f t="shared" si="5"/>
        <v>47505</v>
      </c>
      <c r="M18" s="30">
        <f t="shared" si="0"/>
        <v>47413</v>
      </c>
      <c r="N18" s="86">
        <f t="shared" si="7"/>
        <v>69</v>
      </c>
      <c r="O18" s="86"/>
      <c r="P18" s="28">
        <f t="shared" si="1"/>
        <v>500.4149426680338</v>
      </c>
      <c r="Q18" s="28">
        <f t="shared" si="3"/>
        <v>2.6973363314781449</v>
      </c>
      <c r="R18" s="28">
        <f t="shared" si="2"/>
        <v>0.84995369085542649</v>
      </c>
      <c r="S18" s="29">
        <f t="shared" si="4"/>
        <v>2.2926109704182855</v>
      </c>
      <c r="T18" s="1"/>
      <c r="U18" s="1"/>
      <c r="V18" s="1"/>
      <c r="W18" s="1"/>
      <c r="X18" s="1"/>
      <c r="Y18" s="1"/>
      <c r="Z18" s="1"/>
      <c r="AA18" s="1"/>
      <c r="AB18" s="1"/>
      <c r="AC18" s="1"/>
      <c r="AD18" s="1"/>
      <c r="AE18" s="1"/>
      <c r="AF18" s="1"/>
      <c r="AG18" s="1"/>
      <c r="AH18" s="1"/>
      <c r="AI18" s="1"/>
    </row>
    <row r="19" spans="1:35" ht="15.5" x14ac:dyDescent="0.35">
      <c r="A19" s="1"/>
      <c r="B19" s="1"/>
      <c r="C19" s="11" t="s">
        <v>22</v>
      </c>
      <c r="D19" s="13">
        <v>2.0625</v>
      </c>
      <c r="E19" s="81" t="s">
        <v>82</v>
      </c>
      <c r="F19" s="82"/>
      <c r="G19" s="83"/>
      <c r="H19" s="16"/>
      <c r="I19" s="1"/>
      <c r="J19" s="1"/>
      <c r="K19" s="27">
        <v>6</v>
      </c>
      <c r="L19" s="30">
        <f xml:space="preserve"> DATE(YEAR(L18), MONTH(L18)+6, DAY(L18))</f>
        <v>47686</v>
      </c>
      <c r="M19" s="30">
        <f t="shared" si="0"/>
        <v>47595</v>
      </c>
      <c r="N19" s="86">
        <f>N18+6</f>
        <v>75</v>
      </c>
      <c r="O19" s="86"/>
      <c r="P19" s="28">
        <f t="shared" si="1"/>
        <v>512.7727280069837</v>
      </c>
      <c r="Q19" s="28">
        <f t="shared" si="3"/>
        <v>2.7639472587890634</v>
      </c>
      <c r="R19" s="28">
        <f t="shared" si="2"/>
        <v>0.83748425668365445</v>
      </c>
      <c r="S19" s="29">
        <f t="shared" si="4"/>
        <v>2.3147623155397832</v>
      </c>
      <c r="T19" s="1"/>
      <c r="U19" s="1"/>
      <c r="V19" s="1"/>
      <c r="W19" s="1"/>
      <c r="X19" s="1"/>
      <c r="Y19" s="1"/>
      <c r="Z19" s="1"/>
      <c r="AA19" s="1"/>
      <c r="AB19" s="1"/>
      <c r="AC19" s="1"/>
      <c r="AD19" s="1"/>
      <c r="AE19" s="1"/>
      <c r="AF19" s="1"/>
      <c r="AG19" s="1"/>
      <c r="AH19" s="1"/>
      <c r="AI19" s="1"/>
    </row>
    <row r="20" spans="1:35" ht="15.5" x14ac:dyDescent="0.35">
      <c r="A20" s="1"/>
      <c r="B20" s="1"/>
      <c r="C20" s="11" t="s">
        <v>26</v>
      </c>
      <c r="D20" s="39">
        <f>$P$7</f>
        <v>382.63890461417685</v>
      </c>
      <c r="E20" s="81" t="s">
        <v>27</v>
      </c>
      <c r="F20" s="82"/>
      <c r="G20" s="83"/>
      <c r="H20" s="16"/>
      <c r="I20" s="1"/>
      <c r="J20" s="1"/>
      <c r="K20" s="27">
        <v>6.5</v>
      </c>
      <c r="L20" s="30">
        <f xml:space="preserve"> DATE(YEAR(L19), MONTH(L19)+6, DAY(L19))</f>
        <v>47870</v>
      </c>
      <c r="M20" s="30">
        <f t="shared" si="0"/>
        <v>47778</v>
      </c>
      <c r="N20" s="86">
        <f>N19+6</f>
        <v>81</v>
      </c>
      <c r="O20" s="86"/>
      <c r="P20" s="28">
        <f t="shared" si="1"/>
        <v>525.4356898014355</v>
      </c>
      <c r="Q20" s="28">
        <f t="shared" si="3"/>
        <v>2.8322031480520522</v>
      </c>
      <c r="R20" s="28">
        <f t="shared" si="2"/>
        <v>0.82519775811206453</v>
      </c>
      <c r="S20" s="29">
        <f t="shared" si="4"/>
        <v>2.3371276882904852</v>
      </c>
      <c r="T20" s="1"/>
      <c r="U20" s="1"/>
      <c r="V20" s="1"/>
      <c r="W20" s="1"/>
      <c r="X20" s="1"/>
      <c r="Y20" s="1"/>
      <c r="Z20" s="1"/>
      <c r="AA20" s="1"/>
      <c r="AB20" s="1"/>
      <c r="AC20" s="1"/>
      <c r="AD20" s="1"/>
      <c r="AE20" s="1"/>
      <c r="AF20" s="1"/>
      <c r="AG20" s="1"/>
      <c r="AH20" s="1"/>
      <c r="AI20" s="1"/>
    </row>
    <row r="21" spans="1:35" ht="15.5" x14ac:dyDescent="0.35">
      <c r="A21" s="1"/>
      <c r="B21" s="1"/>
      <c r="C21" s="11" t="s">
        <v>90</v>
      </c>
      <c r="D21" s="13">
        <v>100</v>
      </c>
      <c r="E21" s="81" t="s">
        <v>91</v>
      </c>
      <c r="F21" s="82"/>
      <c r="G21" s="83"/>
      <c r="H21" s="16"/>
      <c r="I21" s="1"/>
      <c r="J21" s="1"/>
      <c r="K21" s="27">
        <v>7</v>
      </c>
      <c r="L21" s="30">
        <f t="shared" si="5"/>
        <v>48051</v>
      </c>
      <c r="M21" s="30">
        <f t="shared" si="0"/>
        <v>47960</v>
      </c>
      <c r="N21" s="86">
        <f t="shared" si="7"/>
        <v>87</v>
      </c>
      <c r="O21" s="86"/>
      <c r="P21" s="28">
        <f t="shared" si="1"/>
        <v>538.41136440733294</v>
      </c>
      <c r="Q21" s="28">
        <f t="shared" si="3"/>
        <v>2.9021446217285165</v>
      </c>
      <c r="R21" s="28">
        <f t="shared" si="2"/>
        <v>0.81309151134335378</v>
      </c>
      <c r="S21" s="29">
        <f t="shared" si="4"/>
        <v>2.3597091566182251</v>
      </c>
      <c r="T21" s="1"/>
      <c r="U21" s="1"/>
      <c r="V21" s="1"/>
      <c r="W21" s="1"/>
      <c r="X21" s="1"/>
      <c r="Y21" s="1"/>
      <c r="Z21" s="1"/>
      <c r="AA21" s="1"/>
      <c r="AB21" s="1"/>
      <c r="AC21" s="1"/>
      <c r="AD21" s="1"/>
      <c r="AE21" s="1"/>
      <c r="AF21" s="1"/>
      <c r="AG21" s="1"/>
      <c r="AH21" s="1"/>
      <c r="AI21" s="1"/>
    </row>
    <row r="22" spans="1:35" ht="15.5" x14ac:dyDescent="0.35">
      <c r="A22" s="1"/>
      <c r="B22" s="1"/>
      <c r="C22" s="33"/>
      <c r="D22" s="33"/>
      <c r="E22" s="33"/>
      <c r="F22" s="16"/>
      <c r="G22" s="16"/>
      <c r="H22" s="16"/>
      <c r="I22" s="1"/>
      <c r="J22" s="1"/>
      <c r="K22" s="27">
        <v>7.5</v>
      </c>
      <c r="L22" s="30">
        <f t="shared" si="5"/>
        <v>48235</v>
      </c>
      <c r="M22" s="30">
        <f t="shared" si="0"/>
        <v>48143</v>
      </c>
      <c r="N22" s="86">
        <f t="shared" si="7"/>
        <v>93</v>
      </c>
      <c r="O22" s="86"/>
      <c r="P22" s="28">
        <f t="shared" si="1"/>
        <v>551.70747429150731</v>
      </c>
      <c r="Q22" s="28">
        <f t="shared" si="3"/>
        <v>2.9738133054546552</v>
      </c>
      <c r="R22" s="28">
        <f t="shared" si="2"/>
        <v>0.80116287195346081</v>
      </c>
      <c r="S22" s="29">
        <f t="shared" si="4"/>
        <v>2.3825088084514658</v>
      </c>
      <c r="T22" s="1"/>
      <c r="U22" s="1"/>
      <c r="V22" s="1"/>
      <c r="W22" s="1"/>
      <c r="X22" s="1"/>
      <c r="Y22" s="1"/>
      <c r="Z22" s="1"/>
      <c r="AA22" s="1"/>
      <c r="AB22" s="1"/>
      <c r="AC22" s="1"/>
      <c r="AD22" s="1"/>
      <c r="AE22" s="1"/>
      <c r="AF22" s="1"/>
      <c r="AG22" s="1"/>
      <c r="AH22" s="1"/>
      <c r="AI22" s="1"/>
    </row>
    <row r="23" spans="1:35" ht="15.5" x14ac:dyDescent="0.35">
      <c r="A23" s="1"/>
      <c r="B23" s="1"/>
      <c r="C23" s="33"/>
      <c r="D23" s="33"/>
      <c r="E23" s="33"/>
      <c r="F23" s="16"/>
      <c r="G23" s="16"/>
      <c r="H23" s="16"/>
      <c r="I23" s="1"/>
      <c r="J23" s="1"/>
      <c r="K23" s="27">
        <v>8</v>
      </c>
      <c r="L23" s="30">
        <f t="shared" si="5"/>
        <v>48417</v>
      </c>
      <c r="M23" s="30">
        <f t="shared" si="0"/>
        <v>48326</v>
      </c>
      <c r="N23" s="86">
        <f t="shared" si="7"/>
        <v>99</v>
      </c>
      <c r="O23" s="86"/>
      <c r="P23" s="28">
        <f t="shared" si="1"/>
        <v>565.33193262769964</v>
      </c>
      <c r="Q23" s="28">
        <f t="shared" si="3"/>
        <v>3.0472518528149424</v>
      </c>
      <c r="R23" s="28">
        <f t="shared" si="2"/>
        <v>0.78940923431393573</v>
      </c>
      <c r="S23" s="29">
        <f t="shared" si="4"/>
        <v>2.4055287518923656</v>
      </c>
      <c r="T23" s="1"/>
      <c r="U23" s="1"/>
      <c r="V23" s="1"/>
      <c r="W23" s="1"/>
      <c r="X23" s="1"/>
      <c r="Y23" s="1"/>
      <c r="Z23" s="1"/>
      <c r="AA23" s="1"/>
      <c r="AB23" s="1"/>
      <c r="AC23" s="1"/>
      <c r="AD23" s="1"/>
      <c r="AE23" s="1"/>
      <c r="AF23" s="1"/>
      <c r="AG23" s="1"/>
      <c r="AH23" s="1"/>
      <c r="AI23" s="1"/>
    </row>
    <row r="24" spans="1:35" ht="15.5" x14ac:dyDescent="0.35">
      <c r="A24" s="1"/>
      <c r="B24" s="1"/>
      <c r="C24" s="84" t="s">
        <v>83</v>
      </c>
      <c r="D24" s="85"/>
      <c r="E24" s="77">
        <f>-Q7</f>
        <v>257.003413308218</v>
      </c>
      <c r="F24" s="16"/>
      <c r="G24" s="16"/>
      <c r="H24" s="16"/>
      <c r="I24" s="1"/>
      <c r="J24" s="1"/>
      <c r="K24" s="27">
        <v>8.5</v>
      </c>
      <c r="L24" s="30">
        <f t="shared" si="5"/>
        <v>48601</v>
      </c>
      <c r="M24" s="30">
        <f t="shared" si="0"/>
        <v>48509</v>
      </c>
      <c r="N24" s="86">
        <f t="shared" si="7"/>
        <v>105</v>
      </c>
      <c r="O24" s="86"/>
      <c r="P24" s="28">
        <f t="shared" si="1"/>
        <v>579.29284800608264</v>
      </c>
      <c r="Q24" s="28">
        <f t="shared" si="3"/>
        <v>3.1225039707273878</v>
      </c>
      <c r="R24" s="28">
        <f t="shared" si="2"/>
        <v>0.77782803102277731</v>
      </c>
      <c r="S24" s="29">
        <f t="shared" si="4"/>
        <v>2.428771115411688</v>
      </c>
      <c r="T24" s="1"/>
      <c r="U24" s="1"/>
      <c r="V24" s="1"/>
      <c r="W24" s="1"/>
      <c r="X24" s="1"/>
      <c r="Y24" s="1"/>
      <c r="Z24" s="1"/>
      <c r="AA24" s="1"/>
      <c r="AB24" s="1"/>
      <c r="AC24" s="1"/>
      <c r="AD24" s="1"/>
      <c r="AE24" s="1"/>
      <c r="AF24" s="1"/>
      <c r="AG24" s="1"/>
      <c r="AH24" s="1"/>
      <c r="AI24" s="1"/>
    </row>
    <row r="25" spans="1:35" ht="15.5" x14ac:dyDescent="0.35">
      <c r="A25" s="1"/>
      <c r="B25" s="1"/>
      <c r="C25" s="75" t="s">
        <v>84</v>
      </c>
      <c r="D25" s="76"/>
      <c r="E25" s="78"/>
      <c r="F25" s="16"/>
      <c r="G25" s="16"/>
      <c r="H25" s="16"/>
      <c r="I25" s="1"/>
      <c r="J25" s="1"/>
      <c r="K25" s="27">
        <v>9</v>
      </c>
      <c r="L25" s="30">
        <f t="shared" si="5"/>
        <v>48782</v>
      </c>
      <c r="M25" s="30">
        <f t="shared" si="0"/>
        <v>48691</v>
      </c>
      <c r="N25" s="86">
        <f t="shared" si="7"/>
        <v>111</v>
      </c>
      <c r="O25" s="86"/>
      <c r="P25" s="28">
        <f t="shared" si="1"/>
        <v>593.59852925908456</v>
      </c>
      <c r="Q25" s="28">
        <f t="shared" si="3"/>
        <v>3.1996144454556896</v>
      </c>
      <c r="R25" s="28">
        <f t="shared" si="2"/>
        <v>0.76641673234362695</v>
      </c>
      <c r="S25" s="29">
        <f t="shared" si="4"/>
        <v>2.4522380480456158</v>
      </c>
      <c r="T25" s="1"/>
      <c r="U25" s="1"/>
      <c r="V25" s="1"/>
      <c r="W25" s="1"/>
      <c r="X25" s="1"/>
      <c r="Y25" s="1"/>
      <c r="Z25" s="1"/>
      <c r="AA25" s="1"/>
      <c r="AB25" s="1"/>
      <c r="AC25" s="1"/>
      <c r="AD25" s="1"/>
      <c r="AE25" s="1"/>
      <c r="AF25" s="1"/>
      <c r="AG25" s="1"/>
      <c r="AH25" s="1"/>
      <c r="AI25" s="1"/>
    </row>
    <row r="26" spans="1:35" ht="15.5" x14ac:dyDescent="0.35">
      <c r="A26" s="1"/>
      <c r="B26" s="1"/>
      <c r="C26" s="16"/>
      <c r="D26" s="16"/>
      <c r="E26" s="16"/>
      <c r="F26" s="16"/>
      <c r="G26" s="16"/>
      <c r="H26" s="16"/>
      <c r="I26" s="1"/>
      <c r="J26" s="1"/>
      <c r="K26" s="27">
        <v>9.5</v>
      </c>
      <c r="L26" s="30">
        <f t="shared" si="5"/>
        <v>48966</v>
      </c>
      <c r="M26" s="30">
        <f t="shared" si="0"/>
        <v>48874</v>
      </c>
      <c r="N26" s="86">
        <f t="shared" si="7"/>
        <v>117</v>
      </c>
      <c r="O26" s="86"/>
      <c r="P26" s="28">
        <f t="shared" si="1"/>
        <v>608.25749040638675</v>
      </c>
      <c r="Q26" s="28">
        <f t="shared" si="3"/>
        <v>3.2786291692637572</v>
      </c>
      <c r="R26" s="28">
        <f t="shared" si="2"/>
        <v>0.75517284565318188</v>
      </c>
      <c r="S26" s="29">
        <f t="shared" si="4"/>
        <v>2.4759317195944393</v>
      </c>
      <c r="T26" s="1"/>
      <c r="U26" s="1"/>
      <c r="V26" s="1"/>
      <c r="W26" s="1"/>
      <c r="X26" s="1"/>
      <c r="Y26" s="1"/>
      <c r="Z26" s="1"/>
      <c r="AA26" s="1"/>
      <c r="AB26" s="1"/>
      <c r="AC26" s="1"/>
      <c r="AD26" s="1"/>
      <c r="AE26" s="1"/>
      <c r="AF26" s="1"/>
      <c r="AG26" s="1"/>
      <c r="AH26" s="1"/>
      <c r="AI26" s="1"/>
    </row>
    <row r="27" spans="1:35" ht="15.5" x14ac:dyDescent="0.35">
      <c r="A27" s="1"/>
      <c r="B27" s="1"/>
      <c r="C27" s="71"/>
      <c r="D27" s="72"/>
      <c r="E27" s="16"/>
      <c r="F27" s="16"/>
      <c r="G27" s="16"/>
      <c r="H27" s="16"/>
      <c r="I27" s="1"/>
      <c r="J27" s="1"/>
      <c r="K27" s="27">
        <v>10</v>
      </c>
      <c r="L27" s="30">
        <f t="shared" si="5"/>
        <v>49147</v>
      </c>
      <c r="M27" s="30">
        <f t="shared" si="0"/>
        <v>49056</v>
      </c>
      <c r="N27" s="86">
        <f t="shared" si="7"/>
        <v>123</v>
      </c>
      <c r="O27" s="86"/>
      <c r="P27" s="28">
        <f t="shared" si="1"/>
        <v>623.27845572203887</v>
      </c>
      <c r="Q27" s="28">
        <f t="shared" si="3"/>
        <v>3.3595951677284748</v>
      </c>
      <c r="R27" s="28">
        <f t="shared" si="2"/>
        <v>0.74409391489672516</v>
      </c>
      <c r="S27" s="29">
        <f t="shared" si="4"/>
        <v>2.4998543208232009</v>
      </c>
      <c r="T27" s="1"/>
      <c r="U27" s="1"/>
      <c r="V27" s="1"/>
      <c r="W27" s="1"/>
      <c r="X27" s="1"/>
      <c r="Y27" s="1"/>
      <c r="Z27" s="1"/>
      <c r="AA27" s="1"/>
      <c r="AB27" s="1"/>
      <c r="AC27" s="1"/>
      <c r="AD27" s="1"/>
      <c r="AE27" s="1"/>
      <c r="AF27" s="1"/>
      <c r="AG27" s="1"/>
      <c r="AH27" s="1"/>
      <c r="AI27" s="1"/>
    </row>
    <row r="28" spans="1:35" ht="15.5" x14ac:dyDescent="0.35">
      <c r="A28" s="1"/>
      <c r="B28" s="1"/>
      <c r="C28" s="16"/>
      <c r="D28" s="16"/>
      <c r="E28" s="16"/>
      <c r="F28" s="16"/>
      <c r="G28" s="16"/>
      <c r="H28" s="16"/>
      <c r="I28" s="1"/>
      <c r="J28" s="1"/>
      <c r="K28" s="27">
        <v>10.5</v>
      </c>
      <c r="L28" s="30">
        <f t="shared" si="5"/>
        <v>49331</v>
      </c>
      <c r="M28" s="30">
        <f t="shared" si="0"/>
        <v>49239</v>
      </c>
      <c r="N28" s="86">
        <f t="shared" si="7"/>
        <v>129</v>
      </c>
      <c r="O28" s="86"/>
      <c r="P28" s="28">
        <f t="shared" si="1"/>
        <v>638.67036492670616</v>
      </c>
      <c r="Q28" s="28">
        <f t="shared" si="3"/>
        <v>3.4425606277269458</v>
      </c>
      <c r="R28" s="28">
        <f t="shared" si="2"/>
        <v>0.73317752005163295</v>
      </c>
      <c r="S28" s="29">
        <f t="shared" si="4"/>
        <v>2.524008063664235</v>
      </c>
      <c r="T28" s="1"/>
      <c r="U28" s="1"/>
      <c r="V28" s="1"/>
      <c r="W28" s="1"/>
      <c r="X28" s="1"/>
      <c r="Y28" s="1"/>
      <c r="Z28" s="1"/>
      <c r="AA28" s="1"/>
      <c r="AB28" s="1"/>
      <c r="AC28" s="1"/>
      <c r="AD28" s="1"/>
      <c r="AE28" s="1"/>
      <c r="AF28" s="1"/>
      <c r="AG28" s="1"/>
      <c r="AH28" s="1"/>
      <c r="AI28" s="1"/>
    </row>
    <row r="29" spans="1:35" ht="15.5" x14ac:dyDescent="0.35">
      <c r="A29" s="1"/>
      <c r="B29" s="1"/>
      <c r="C29" s="16"/>
      <c r="D29" s="16"/>
      <c r="E29" s="16"/>
      <c r="F29" s="16"/>
      <c r="G29" s="16"/>
      <c r="H29" s="16"/>
      <c r="I29" s="1"/>
      <c r="J29" s="1"/>
      <c r="K29" s="27">
        <v>11</v>
      </c>
      <c r="L29" s="30">
        <f t="shared" si="5"/>
        <v>49512</v>
      </c>
      <c r="M29" s="30">
        <f t="shared" si="0"/>
        <v>49421</v>
      </c>
      <c r="N29" s="86">
        <f t="shared" si="7"/>
        <v>135</v>
      </c>
      <c r="O29" s="86"/>
      <c r="P29" s="28">
        <f t="shared" si="1"/>
        <v>654.44237850814091</v>
      </c>
      <c r="Q29" s="28">
        <f t="shared" si="3"/>
        <v>3.5275749261148985</v>
      </c>
      <c r="R29" s="28">
        <f t="shared" si="2"/>
        <v>0.72242127659876232</v>
      </c>
      <c r="S29" s="29">
        <f t="shared" si="4"/>
        <v>2.5483951814217098</v>
      </c>
      <c r="T29" s="1"/>
      <c r="U29" s="1"/>
      <c r="V29" s="1"/>
      <c r="W29" s="1"/>
      <c r="X29" s="1"/>
      <c r="Y29" s="1"/>
      <c r="Z29" s="1"/>
      <c r="AA29" s="1"/>
      <c r="AB29" s="1"/>
      <c r="AC29" s="1"/>
      <c r="AD29" s="1"/>
      <c r="AE29" s="1"/>
      <c r="AF29" s="1"/>
      <c r="AG29" s="1"/>
      <c r="AH29" s="1"/>
      <c r="AI29" s="1"/>
    </row>
    <row r="30" spans="1:35" ht="15.5" x14ac:dyDescent="0.35">
      <c r="A30" s="1"/>
      <c r="B30" s="1"/>
      <c r="C30" s="16"/>
      <c r="D30" s="16"/>
      <c r="E30" s="16"/>
      <c r="F30" s="16"/>
      <c r="G30" s="16"/>
      <c r="H30" s="16"/>
      <c r="I30" s="1"/>
      <c r="J30" s="1"/>
      <c r="K30" s="27">
        <v>11.5</v>
      </c>
      <c r="L30" s="30">
        <f t="shared" si="5"/>
        <v>49696</v>
      </c>
      <c r="M30" s="30">
        <f t="shared" si="0"/>
        <v>49604</v>
      </c>
      <c r="N30" s="86">
        <f t="shared" si="7"/>
        <v>141</v>
      </c>
      <c r="O30" s="86"/>
      <c r="P30" s="28">
        <f t="shared" si="1"/>
        <v>670.6038831730416</v>
      </c>
      <c r="Q30" s="28">
        <f t="shared" si="3"/>
        <v>3.614688659113293</v>
      </c>
      <c r="R30" s="28">
        <f t="shared" si="2"/>
        <v>0.71182283500158527</v>
      </c>
      <c r="S30" s="29">
        <f t="shared" si="4"/>
        <v>2.573017928978103</v>
      </c>
      <c r="T30" s="1"/>
      <c r="U30" s="1"/>
      <c r="V30" s="1"/>
      <c r="W30" s="1"/>
      <c r="X30" s="1"/>
      <c r="Y30" s="1"/>
      <c r="Z30" s="1"/>
      <c r="AA30" s="1"/>
      <c r="AB30" s="1"/>
      <c r="AC30" s="1"/>
      <c r="AD30" s="1"/>
      <c r="AE30" s="1"/>
      <c r="AF30" s="1"/>
      <c r="AG30" s="1"/>
      <c r="AH30" s="1"/>
      <c r="AI30" s="1"/>
    </row>
    <row r="31" spans="1:35" ht="15.5" x14ac:dyDescent="0.35">
      <c r="A31" s="1"/>
      <c r="B31" s="1"/>
      <c r="C31" s="1"/>
      <c r="D31" s="1"/>
      <c r="E31" s="1"/>
      <c r="F31" s="1"/>
      <c r="G31" s="1"/>
      <c r="H31" s="1"/>
      <c r="I31" s="1"/>
      <c r="J31" s="1"/>
      <c r="K31" s="27">
        <v>12</v>
      </c>
      <c r="L31" s="30">
        <f t="shared" si="5"/>
        <v>49878</v>
      </c>
      <c r="M31" s="30">
        <f t="shared" si="0"/>
        <v>49787</v>
      </c>
      <c r="N31" s="86">
        <f t="shared" si="7"/>
        <v>147</v>
      </c>
      <c r="O31" s="86"/>
      <c r="P31" s="28">
        <f t="shared" si="1"/>
        <v>687.16449743354792</v>
      </c>
      <c r="Q31" s="28">
        <f t="shared" si="3"/>
        <v>3.703953672420643</v>
      </c>
      <c r="R31" s="28">
        <f t="shared" si="2"/>
        <v>0.70137988019297326</v>
      </c>
      <c r="S31" s="29">
        <f t="shared" si="4"/>
        <v>2.5978785830027138</v>
      </c>
      <c r="T31" s="1"/>
      <c r="U31" s="1"/>
      <c r="V31" s="1"/>
      <c r="W31" s="1"/>
      <c r="X31" s="1"/>
      <c r="Y31" s="1"/>
      <c r="Z31" s="1"/>
      <c r="AA31" s="1"/>
      <c r="AB31" s="1"/>
      <c r="AC31" s="1"/>
      <c r="AD31" s="1"/>
      <c r="AE31" s="1"/>
      <c r="AF31" s="1"/>
      <c r="AG31" s="1"/>
      <c r="AH31" s="1"/>
      <c r="AI31" s="1"/>
    </row>
    <row r="32" spans="1:35" ht="15.5" x14ac:dyDescent="0.35">
      <c r="A32" s="1"/>
      <c r="B32" s="1"/>
      <c r="C32" s="1"/>
      <c r="D32" s="1"/>
      <c r="E32" s="1"/>
      <c r="F32" s="1"/>
      <c r="G32" s="1"/>
      <c r="H32" s="1"/>
      <c r="I32" s="1"/>
      <c r="J32" s="1"/>
      <c r="K32" s="27">
        <v>12.5</v>
      </c>
      <c r="L32" s="30">
        <f t="shared" si="5"/>
        <v>50062</v>
      </c>
      <c r="M32" s="30">
        <f t="shared" si="0"/>
        <v>49970</v>
      </c>
      <c r="N32" s="86">
        <f t="shared" si="7"/>
        <v>153</v>
      </c>
      <c r="O32" s="86"/>
      <c r="P32" s="28">
        <f t="shared" si="1"/>
        <v>704.13407733169367</v>
      </c>
      <c r="Q32" s="28">
        <f t="shared" si="3"/>
        <v>3.7954230920689582</v>
      </c>
      <c r="R32" s="28">
        <f t="shared" si="2"/>
        <v>0.69109013106950024</v>
      </c>
      <c r="S32" s="29">
        <f t="shared" si="4"/>
        <v>2.6229794421621442</v>
      </c>
      <c r="T32" s="1"/>
      <c r="U32" s="1"/>
      <c r="V32" s="1"/>
      <c r="W32" s="1"/>
      <c r="X32" s="1"/>
      <c r="Y32" s="1"/>
      <c r="Z32" s="1"/>
      <c r="AA32" s="1"/>
      <c r="AB32" s="1"/>
      <c r="AC32" s="1"/>
      <c r="AD32" s="1"/>
      <c r="AE32" s="1"/>
      <c r="AF32" s="1"/>
      <c r="AG32" s="1"/>
      <c r="AH32" s="1"/>
      <c r="AI32" s="1"/>
    </row>
    <row r="33" spans="1:35" ht="15.5" x14ac:dyDescent="0.35">
      <c r="A33" s="1"/>
      <c r="B33" s="1"/>
      <c r="C33" s="1"/>
      <c r="D33" s="1"/>
      <c r="E33" s="1"/>
      <c r="F33" s="1"/>
      <c r="G33" s="1"/>
      <c r="H33" s="1"/>
      <c r="I33" s="1"/>
      <c r="J33" s="1"/>
      <c r="K33" s="27">
        <v>13</v>
      </c>
      <c r="L33" s="30">
        <f t="shared" si="5"/>
        <v>50243</v>
      </c>
      <c r="M33" s="30">
        <f t="shared" si="0"/>
        <v>50152</v>
      </c>
      <c r="N33" s="86">
        <f t="shared" si="7"/>
        <v>159</v>
      </c>
      <c r="O33" s="86"/>
      <c r="P33" s="28">
        <f t="shared" si="1"/>
        <v>721.52272230522533</v>
      </c>
      <c r="Q33" s="28">
        <f t="shared" si="3"/>
        <v>3.8891513560416753</v>
      </c>
      <c r="R33" s="28">
        <f t="shared" si="2"/>
        <v>0.68095133999317792</v>
      </c>
      <c r="S33" s="29">
        <f t="shared" si="4"/>
        <v>2.6483228273328638</v>
      </c>
      <c r="T33" s="1"/>
      <c r="U33" s="1"/>
      <c r="V33" s="1"/>
      <c r="W33" s="1"/>
      <c r="X33" s="1"/>
      <c r="Y33" s="1"/>
      <c r="Z33" s="1"/>
      <c r="AA33" s="1"/>
      <c r="AB33" s="1"/>
      <c r="AC33" s="1"/>
      <c r="AD33" s="1"/>
      <c r="AE33" s="1"/>
      <c r="AF33" s="1"/>
      <c r="AG33" s="1"/>
      <c r="AH33" s="1"/>
      <c r="AI33" s="1"/>
    </row>
    <row r="34" spans="1:35" ht="15.5" x14ac:dyDescent="0.35">
      <c r="A34" s="1"/>
      <c r="B34" s="1"/>
      <c r="C34" s="1"/>
      <c r="D34" s="1"/>
      <c r="E34" s="1"/>
      <c r="F34" s="1"/>
      <c r="G34" s="1"/>
      <c r="H34" s="1"/>
      <c r="I34" s="1"/>
      <c r="J34" s="1"/>
      <c r="K34" s="27">
        <v>13.5</v>
      </c>
      <c r="L34" s="30">
        <f t="shared" si="5"/>
        <v>50427</v>
      </c>
      <c r="M34" s="30">
        <f t="shared" si="0"/>
        <v>50335</v>
      </c>
      <c r="N34" s="86">
        <f t="shared" si="7"/>
        <v>165</v>
      </c>
      <c r="O34" s="86"/>
      <c r="P34" s="28">
        <f t="shared" si="1"/>
        <v>739.34078119827836</v>
      </c>
      <c r="Q34" s="28">
        <f t="shared" si="3"/>
        <v>3.9851942466724064</v>
      </c>
      <c r="R34" s="28">
        <f t="shared" si="2"/>
        <v>0.67096129230048573</v>
      </c>
      <c r="S34" s="29">
        <f t="shared" si="4"/>
        <v>2.6739110818157785</v>
      </c>
      <c r="T34" s="1"/>
      <c r="U34" s="1"/>
      <c r="V34" s="1"/>
      <c r="W34" s="1"/>
      <c r="X34" s="1"/>
      <c r="Y34" s="1"/>
      <c r="Z34" s="1"/>
      <c r="AA34" s="1"/>
      <c r="AB34" s="1"/>
      <c r="AC34" s="1"/>
      <c r="AD34" s="1"/>
      <c r="AE34" s="1"/>
      <c r="AF34" s="1"/>
      <c r="AG34" s="1"/>
      <c r="AH34" s="1"/>
      <c r="AI34" s="1"/>
    </row>
    <row r="35" spans="1:35" ht="15.5" x14ac:dyDescent="0.35">
      <c r="A35" s="1"/>
      <c r="B35" s="1"/>
      <c r="C35" s="1"/>
      <c r="D35" s="1"/>
      <c r="E35" s="1"/>
      <c r="F35" s="1"/>
      <c r="G35" s="1"/>
      <c r="H35" s="1"/>
      <c r="I35" s="1"/>
      <c r="J35" s="1"/>
      <c r="K35" s="27">
        <v>14</v>
      </c>
      <c r="L35" s="30">
        <f t="shared" si="5"/>
        <v>50608</v>
      </c>
      <c r="M35" s="30">
        <f t="shared" si="0"/>
        <v>50517</v>
      </c>
      <c r="N35" s="86">
        <f t="shared" si="7"/>
        <v>171</v>
      </c>
      <c r="O35" s="86"/>
      <c r="P35" s="28">
        <f t="shared" si="1"/>
        <v>757.59885842048675</v>
      </c>
      <c r="Q35" s="28">
        <f t="shared" si="3"/>
        <v>4.0836089238437596</v>
      </c>
      <c r="R35" s="28">
        <f t="shared" si="2"/>
        <v>0.66111780581861923</v>
      </c>
      <c r="S35" s="29">
        <f t="shared" si="4"/>
        <v>2.6997465715529194</v>
      </c>
      <c r="T35" s="1"/>
      <c r="U35" s="1"/>
      <c r="V35" s="1"/>
      <c r="W35" s="1"/>
      <c r="X35" s="1"/>
      <c r="Y35" s="1"/>
      <c r="Z35" s="1"/>
      <c r="AA35" s="1"/>
      <c r="AB35" s="1"/>
      <c r="AC35" s="1"/>
      <c r="AD35" s="1"/>
      <c r="AE35" s="1"/>
      <c r="AF35" s="1"/>
      <c r="AG35" s="1"/>
      <c r="AH35" s="1"/>
      <c r="AI35" s="1"/>
    </row>
    <row r="36" spans="1:35" ht="15.5" x14ac:dyDescent="0.35">
      <c r="A36" s="1"/>
      <c r="B36" s="1"/>
      <c r="C36" s="1"/>
      <c r="D36" s="1"/>
      <c r="E36" s="1"/>
      <c r="F36" s="1"/>
      <c r="G36" s="1"/>
      <c r="H36" s="1"/>
      <c r="I36" s="1"/>
      <c r="J36" s="1"/>
      <c r="K36" s="27">
        <v>14.5</v>
      </c>
      <c r="L36" s="30">
        <f t="shared" si="5"/>
        <v>50792</v>
      </c>
      <c r="M36" s="30">
        <f t="shared" si="0"/>
        <v>50700</v>
      </c>
      <c r="N36" s="86">
        <f t="shared" si="7"/>
        <v>177</v>
      </c>
      <c r="O36" s="86"/>
      <c r="P36" s="28">
        <f t="shared" si="1"/>
        <v>776.30782025819235</v>
      </c>
      <c r="Q36" s="28">
        <f t="shared" si="3"/>
        <v>4.184453959006027</v>
      </c>
      <c r="R36" s="28">
        <f t="shared" si="2"/>
        <v>0.65141873038882114</v>
      </c>
      <c r="S36" s="29">
        <f t="shared" si="4"/>
        <v>2.7258316853461824</v>
      </c>
      <c r="T36" s="1"/>
      <c r="U36" s="1"/>
      <c r="V36" s="1"/>
      <c r="W36" s="1"/>
      <c r="X36" s="1"/>
      <c r="Y36" s="1"/>
      <c r="Z36" s="1"/>
      <c r="AA36" s="1"/>
      <c r="AB36" s="1"/>
      <c r="AC36" s="1"/>
      <c r="AD36" s="1"/>
      <c r="AE36" s="1"/>
      <c r="AF36" s="1"/>
      <c r="AG36" s="1"/>
      <c r="AH36" s="1"/>
      <c r="AI36" s="1"/>
    </row>
    <row r="37" spans="1:35" ht="15.5" x14ac:dyDescent="0.35">
      <c r="A37" s="1"/>
      <c r="B37" s="1"/>
      <c r="C37" s="1"/>
      <c r="D37" s="1"/>
      <c r="E37" s="1"/>
      <c r="F37" s="1"/>
      <c r="G37" s="1"/>
      <c r="H37" s="1"/>
      <c r="I37" s="1"/>
      <c r="J37" s="1"/>
      <c r="K37" s="27">
        <v>15</v>
      </c>
      <c r="L37" s="30">
        <f t="shared" si="5"/>
        <v>50973</v>
      </c>
      <c r="M37" s="30">
        <f t="shared" si="0"/>
        <v>50882</v>
      </c>
      <c r="N37" s="86">
        <f t="shared" si="7"/>
        <v>183</v>
      </c>
      <c r="O37" s="86"/>
      <c r="P37" s="28">
        <f t="shared" si="1"/>
        <v>795.47880134151103</v>
      </c>
      <c r="Q37" s="28">
        <f t="shared" si="3"/>
        <v>4.2877893700359477</v>
      </c>
      <c r="R37" s="28">
        <f t="shared" si="2"/>
        <v>0.64186194739671765</v>
      </c>
      <c r="S37" s="29">
        <f t="shared" si="4"/>
        <v>2.7521688350782187</v>
      </c>
      <c r="T37" s="1"/>
      <c r="U37" s="1"/>
      <c r="V37" s="1"/>
      <c r="W37" s="1"/>
      <c r="X37" s="1"/>
      <c r="Y37" s="1"/>
      <c r="Z37" s="1"/>
      <c r="AA37" s="1"/>
      <c r="AB37" s="1"/>
      <c r="AC37" s="1"/>
      <c r="AD37" s="1"/>
      <c r="AE37" s="1"/>
      <c r="AF37" s="1"/>
      <c r="AG37" s="1"/>
      <c r="AH37" s="1"/>
      <c r="AI37" s="1"/>
    </row>
    <row r="38" spans="1:35" ht="15.5" x14ac:dyDescent="0.35">
      <c r="A38" s="1"/>
      <c r="B38" s="1"/>
      <c r="C38" s="1"/>
      <c r="D38" s="1"/>
      <c r="E38" s="1"/>
      <c r="F38" s="1"/>
      <c r="G38" s="1"/>
      <c r="H38" s="1"/>
      <c r="I38" s="1"/>
      <c r="J38" s="1"/>
      <c r="K38" s="27">
        <v>15.5</v>
      </c>
      <c r="L38" s="30">
        <f t="shared" si="5"/>
        <v>51157</v>
      </c>
      <c r="M38" s="30">
        <f t="shared" si="0"/>
        <v>51065</v>
      </c>
      <c r="N38" s="86">
        <f t="shared" si="7"/>
        <v>189</v>
      </c>
      <c r="O38" s="86"/>
      <c r="P38" s="28">
        <f t="shared" si="1"/>
        <v>815.12321127110204</v>
      </c>
      <c r="Q38" s="28">
        <f t="shared" si="3"/>
        <v>4.3936766569563277</v>
      </c>
      <c r="R38" s="28">
        <f t="shared" si="2"/>
        <v>0.63244536930953499</v>
      </c>
      <c r="S38" s="29">
        <f t="shared" si="4"/>
        <v>2.7787604559354278</v>
      </c>
      <c r="T38" s="1"/>
      <c r="U38" s="1"/>
      <c r="V38" s="1"/>
      <c r="W38" s="1"/>
      <c r="X38" s="1"/>
      <c r="Y38" s="1"/>
      <c r="Z38" s="1"/>
      <c r="AA38" s="1"/>
      <c r="AB38" s="1"/>
      <c r="AC38" s="1"/>
      <c r="AD38" s="1"/>
      <c r="AE38" s="1"/>
      <c r="AF38" s="1"/>
      <c r="AG38" s="1"/>
      <c r="AH38" s="1"/>
      <c r="AI38" s="1"/>
    </row>
    <row r="39" spans="1:35" ht="15.5" x14ac:dyDescent="0.35">
      <c r="A39" s="1"/>
      <c r="B39" s="1"/>
      <c r="C39" s="1"/>
      <c r="D39" s="1"/>
      <c r="E39" s="1"/>
      <c r="F39" s="1"/>
      <c r="G39" s="1"/>
      <c r="H39" s="1"/>
      <c r="I39" s="1"/>
      <c r="J39" s="1"/>
      <c r="K39" s="27">
        <v>16</v>
      </c>
      <c r="L39" s="30">
        <f t="shared" si="5"/>
        <v>51339</v>
      </c>
      <c r="M39" s="30">
        <f t="shared" si="0"/>
        <v>51248</v>
      </c>
      <c r="N39" s="86">
        <f t="shared" si="7"/>
        <v>195</v>
      </c>
      <c r="O39" s="86"/>
      <c r="P39" s="28">
        <f t="shared" si="1"/>
        <v>835.25274140858664</v>
      </c>
      <c r="Q39" s="28">
        <f t="shared" si="3"/>
        <v>4.5021788385377457</v>
      </c>
      <c r="R39" s="28">
        <f t="shared" si="2"/>
        <v>0.62316693922011435</v>
      </c>
      <c r="S39" s="29">
        <f t="shared" si="4"/>
        <v>2.8056090066331363</v>
      </c>
      <c r="T39" s="1"/>
      <c r="U39" s="1"/>
      <c r="V39" s="1"/>
      <c r="W39" s="1"/>
      <c r="X39" s="1"/>
      <c r="Y39" s="1"/>
      <c r="Z39" s="1"/>
      <c r="AA39" s="1"/>
      <c r="AB39" s="1"/>
      <c r="AC39" s="1"/>
      <c r="AD39" s="1"/>
      <c r="AE39" s="1"/>
      <c r="AF39" s="1"/>
      <c r="AG39" s="1"/>
      <c r="AH39" s="1"/>
      <c r="AI39" s="1"/>
    </row>
    <row r="40" spans="1:35" ht="15.5" x14ac:dyDescent="0.35">
      <c r="A40" s="1"/>
      <c r="B40" s="1"/>
      <c r="C40" s="1"/>
      <c r="D40" s="1"/>
      <c r="E40" s="1"/>
      <c r="F40" s="1"/>
      <c r="G40" s="1"/>
      <c r="H40" s="1"/>
      <c r="I40" s="1"/>
      <c r="J40" s="1"/>
      <c r="K40" s="27">
        <v>16.5</v>
      </c>
      <c r="L40" s="30">
        <f t="shared" si="5"/>
        <v>51523</v>
      </c>
      <c r="M40" s="30">
        <f t="shared" si="0"/>
        <v>51431</v>
      </c>
      <c r="N40" s="86">
        <f t="shared" si="7"/>
        <v>201</v>
      </c>
      <c r="O40" s="86"/>
      <c r="P40" s="28">
        <f t="shared" si="1"/>
        <v>855.87937183465704</v>
      </c>
      <c r="Q40" s="28">
        <f t="shared" si="3"/>
        <v>4.613360489804144</v>
      </c>
      <c r="R40" s="28">
        <f t="shared" si="2"/>
        <v>0.6140246303976068</v>
      </c>
      <c r="S40" s="29">
        <f t="shared" si="4"/>
        <v>2.8327169696429118</v>
      </c>
      <c r="T40" s="1"/>
      <c r="U40" s="1"/>
      <c r="V40" s="1"/>
      <c r="W40" s="1"/>
      <c r="X40" s="1"/>
      <c r="Y40" s="1"/>
      <c r="Z40" s="1"/>
      <c r="AA40" s="1"/>
      <c r="AB40" s="1"/>
      <c r="AC40" s="1"/>
      <c r="AD40" s="1"/>
      <c r="AE40" s="1"/>
      <c r="AF40" s="1"/>
      <c r="AG40" s="1"/>
      <c r="AH40" s="1"/>
      <c r="AI40" s="1"/>
    </row>
    <row r="41" spans="1:35" ht="15.5" x14ac:dyDescent="0.35">
      <c r="A41" s="1"/>
      <c r="B41" s="1"/>
      <c r="C41" s="1"/>
      <c r="D41" s="1"/>
      <c r="E41" s="1"/>
      <c r="F41" s="1"/>
      <c r="G41" s="1"/>
      <c r="H41" s="1"/>
      <c r="I41" s="1"/>
      <c r="J41" s="1"/>
      <c r="K41" s="27">
        <v>17</v>
      </c>
      <c r="L41" s="30">
        <f t="shared" si="5"/>
        <v>51704</v>
      </c>
      <c r="M41" s="30">
        <f t="shared" si="0"/>
        <v>51613</v>
      </c>
      <c r="N41" s="86">
        <f t="shared" si="7"/>
        <v>207</v>
      </c>
      <c r="O41" s="86"/>
      <c r="P41" s="28">
        <f t="shared" si="1"/>
        <v>877.01537847901602</v>
      </c>
      <c r="Q41" s="28">
        <f t="shared" si="3"/>
        <v>4.7272877804646329</v>
      </c>
      <c r="R41" s="28">
        <f t="shared" si="2"/>
        <v>0.60501644584477121</v>
      </c>
      <c r="S41" s="29">
        <f t="shared" si="4"/>
        <v>2.8600868514221292</v>
      </c>
      <c r="T41" s="1"/>
      <c r="U41" s="1"/>
      <c r="V41" s="1"/>
      <c r="W41" s="1"/>
      <c r="X41" s="1"/>
      <c r="Y41" s="1"/>
      <c r="Z41" s="1"/>
      <c r="AA41" s="1"/>
      <c r="AB41" s="1"/>
      <c r="AC41" s="1"/>
      <c r="AD41" s="1"/>
      <c r="AE41" s="1"/>
      <c r="AF41" s="1"/>
      <c r="AG41" s="1"/>
      <c r="AH41" s="1"/>
      <c r="AI41" s="1"/>
    </row>
    <row r="42" spans="1:35" ht="15.5" x14ac:dyDescent="0.35">
      <c r="A42" s="1"/>
      <c r="B42" s="1"/>
      <c r="C42" s="1"/>
      <c r="D42" s="1"/>
      <c r="E42" s="1"/>
      <c r="F42" s="1"/>
      <c r="G42" s="1"/>
      <c r="H42" s="1"/>
      <c r="I42" s="1"/>
      <c r="J42" s="1"/>
      <c r="K42" s="27">
        <v>17.5</v>
      </c>
      <c r="L42" s="30">
        <f t="shared" si="5"/>
        <v>51888</v>
      </c>
      <c r="M42" s="30">
        <f t="shared" si="0"/>
        <v>51796</v>
      </c>
      <c r="N42" s="86">
        <f t="shared" si="7"/>
        <v>213</v>
      </c>
      <c r="O42" s="86"/>
      <c r="P42" s="28">
        <f t="shared" si="1"/>
        <v>898.67334042638993</v>
      </c>
      <c r="Q42" s="28">
        <f t="shared" si="3"/>
        <v>4.8440285142943518</v>
      </c>
      <c r="R42" s="28">
        <f t="shared" si="2"/>
        <v>0.59614041786175409</v>
      </c>
      <c r="S42" s="29">
        <f t="shared" si="4"/>
        <v>2.8877211826456866</v>
      </c>
      <c r="T42" s="1"/>
      <c r="U42" s="1"/>
      <c r="V42" s="1"/>
      <c r="W42" s="1"/>
      <c r="X42" s="1"/>
      <c r="Y42" s="1"/>
      <c r="Z42" s="1"/>
      <c r="AA42" s="1"/>
      <c r="AB42" s="1"/>
      <c r="AC42" s="1"/>
      <c r="AD42" s="1"/>
      <c r="AE42" s="1"/>
      <c r="AF42" s="1"/>
      <c r="AG42" s="1"/>
      <c r="AH42" s="1"/>
      <c r="AI42" s="1"/>
    </row>
    <row r="43" spans="1:35" ht="15.5" x14ac:dyDescent="0.35">
      <c r="A43" s="1"/>
      <c r="B43" s="1"/>
      <c r="C43" s="1"/>
      <c r="D43" s="1"/>
      <c r="E43" s="1"/>
      <c r="F43" s="1"/>
      <c r="G43" s="1"/>
      <c r="H43" s="1"/>
      <c r="I43" s="1"/>
      <c r="J43" s="1"/>
      <c r="K43" s="27">
        <v>18</v>
      </c>
      <c r="L43" s="30">
        <f t="shared" si="5"/>
        <v>52069</v>
      </c>
      <c r="M43" s="30">
        <f t="shared" si="0"/>
        <v>51978</v>
      </c>
      <c r="N43" s="86">
        <f t="shared" si="7"/>
        <v>219</v>
      </c>
      <c r="O43" s="86"/>
      <c r="P43" s="28">
        <f t="shared" si="1"/>
        <v>920.86614740296682</v>
      </c>
      <c r="Q43" s="28">
        <f t="shared" si="3"/>
        <v>4.9636521694878644</v>
      </c>
      <c r="R43" s="28">
        <f t="shared" si="2"/>
        <v>0.5873946076162827</v>
      </c>
      <c r="S43" s="29">
        <f t="shared" si="4"/>
        <v>2.9156225184400344</v>
      </c>
      <c r="T43" s="1"/>
      <c r="U43" s="1"/>
      <c r="V43" s="1"/>
      <c r="W43" s="1"/>
      <c r="X43" s="1"/>
      <c r="Y43" s="1"/>
      <c r="Z43" s="1"/>
      <c r="AA43" s="1"/>
      <c r="AB43" s="1"/>
      <c r="AC43" s="1"/>
      <c r="AD43" s="1"/>
      <c r="AE43" s="1"/>
      <c r="AF43" s="1"/>
      <c r="AG43" s="1"/>
      <c r="AH43" s="1"/>
      <c r="AI43" s="1"/>
    </row>
    <row r="44" spans="1:35" ht="15.5" x14ac:dyDescent="0.35">
      <c r="A44" s="1"/>
      <c r="B44" s="1"/>
      <c r="C44" s="1"/>
      <c r="D44" s="1"/>
      <c r="E44" s="1"/>
      <c r="F44" s="1"/>
      <c r="G44" s="1"/>
      <c r="H44" s="1"/>
      <c r="I44" s="1"/>
      <c r="J44" s="1"/>
      <c r="K44" s="27">
        <v>18.5</v>
      </c>
      <c r="L44" s="30">
        <f t="shared" si="5"/>
        <v>52253</v>
      </c>
      <c r="M44" s="30">
        <f t="shared" si="0"/>
        <v>52161</v>
      </c>
      <c r="N44" s="86">
        <f t="shared" si="7"/>
        <v>225</v>
      </c>
      <c r="O44" s="86"/>
      <c r="P44" s="28">
        <f t="shared" si="1"/>
        <v>943.60700744770952</v>
      </c>
      <c r="Q44" s="28">
        <f t="shared" si="3"/>
        <v>5.08622994000907</v>
      </c>
      <c r="R44" s="28">
        <f t="shared" si="2"/>
        <v>0.57877710472014965</v>
      </c>
      <c r="S44" s="29">
        <f t="shared" si="4"/>
        <v>2.94379343861939</v>
      </c>
      <c r="T44" s="1"/>
      <c r="U44" s="1"/>
      <c r="V44" s="1"/>
      <c r="W44" s="1"/>
      <c r="X44" s="1"/>
      <c r="Y44" s="1"/>
      <c r="Z44" s="1"/>
      <c r="AA44" s="1"/>
      <c r="AB44" s="1"/>
      <c r="AC44" s="1"/>
      <c r="AD44" s="1"/>
      <c r="AE44" s="1"/>
      <c r="AF44" s="1"/>
      <c r="AG44" s="1"/>
      <c r="AH44" s="1"/>
      <c r="AI44" s="1"/>
    </row>
    <row r="45" spans="1:35" ht="15.5" x14ac:dyDescent="0.35">
      <c r="A45" s="1"/>
      <c r="B45" s="1"/>
      <c r="C45" s="1"/>
      <c r="D45" s="1"/>
      <c r="E45" s="1"/>
      <c r="F45" s="1"/>
      <c r="G45" s="1"/>
      <c r="H45" s="1"/>
      <c r="I45" s="1"/>
      <c r="J45" s="1"/>
      <c r="K45" s="27">
        <v>19</v>
      </c>
      <c r="L45" s="30">
        <f t="shared" si="5"/>
        <v>52434</v>
      </c>
      <c r="M45" s="30">
        <f t="shared" si="0"/>
        <v>52343</v>
      </c>
      <c r="N45" s="86">
        <f t="shared" si="7"/>
        <v>231</v>
      </c>
      <c r="O45" s="86"/>
      <c r="P45" s="28">
        <f t="shared" si="1"/>
        <v>966.90945477311527</v>
      </c>
      <c r="Q45" s="28">
        <f t="shared" si="3"/>
        <v>5.2118347779622587</v>
      </c>
      <c r="R45" s="28">
        <f t="shared" si="2"/>
        <v>0.57028602681192497</v>
      </c>
      <c r="S45" s="29">
        <f t="shared" si="4"/>
        <v>2.9722365479243078</v>
      </c>
      <c r="T45" s="1"/>
      <c r="U45" s="1"/>
      <c r="V45" s="1"/>
      <c r="W45" s="1"/>
      <c r="X45" s="1"/>
      <c r="Y45" s="1"/>
      <c r="Z45" s="1"/>
      <c r="AA45" s="1"/>
      <c r="AB45" s="1"/>
      <c r="AC45" s="1"/>
      <c r="AD45" s="1"/>
      <c r="AE45" s="1"/>
      <c r="AF45" s="1"/>
      <c r="AG45" s="1"/>
      <c r="AH45" s="1"/>
      <c r="AI45" s="1"/>
    </row>
    <row r="46" spans="1:35" ht="15.5" x14ac:dyDescent="0.35">
      <c r="A46" s="1"/>
      <c r="B46" s="1"/>
      <c r="C46" s="1"/>
      <c r="D46" s="1"/>
      <c r="E46" s="1"/>
      <c r="F46" s="1"/>
      <c r="G46" s="1"/>
      <c r="H46" s="1"/>
      <c r="I46" s="1"/>
      <c r="J46" s="1"/>
      <c r="K46" s="27">
        <v>19.5</v>
      </c>
      <c r="L46" s="30">
        <f t="shared" si="5"/>
        <v>52618</v>
      </c>
      <c r="M46" s="30">
        <f t="shared" si="0"/>
        <v>52526</v>
      </c>
      <c r="N46" s="86">
        <f t="shared" si="7"/>
        <v>237</v>
      </c>
      <c r="O46" s="86"/>
      <c r="P46" s="28">
        <f t="shared" si="1"/>
        <v>990.78735782009505</v>
      </c>
      <c r="Q46" s="28">
        <f t="shared" si="3"/>
        <v>5.3405414370095237</v>
      </c>
      <c r="R46" s="28">
        <f t="shared" si="2"/>
        <v>0.56191951914577642</v>
      </c>
      <c r="S46" s="29">
        <f t="shared" si="4"/>
        <v>3.0009544762624856</v>
      </c>
      <c r="T46" s="1"/>
      <c r="U46" s="1"/>
      <c r="V46" s="1"/>
      <c r="W46" s="1"/>
      <c r="X46" s="1"/>
      <c r="Y46" s="1"/>
      <c r="Z46" s="1"/>
      <c r="AA46" s="1"/>
      <c r="AB46" s="1"/>
      <c r="AC46" s="1"/>
      <c r="AD46" s="1"/>
      <c r="AE46" s="1"/>
      <c r="AF46" s="1"/>
      <c r="AG46" s="1"/>
      <c r="AH46" s="1"/>
      <c r="AI46" s="1"/>
    </row>
    <row r="47" spans="1:35" ht="15.5" x14ac:dyDescent="0.35">
      <c r="A47" s="1"/>
      <c r="B47" s="1"/>
      <c r="C47" s="1"/>
      <c r="D47" s="1"/>
      <c r="E47" s="1"/>
      <c r="F47" s="1"/>
      <c r="G47" s="1"/>
      <c r="H47" s="1"/>
      <c r="I47" s="1"/>
      <c r="J47" s="1"/>
      <c r="K47" s="27">
        <v>20</v>
      </c>
      <c r="L47" s="30">
        <f t="shared" si="5"/>
        <v>52800</v>
      </c>
      <c r="M47" s="30">
        <f t="shared" si="0"/>
        <v>52709</v>
      </c>
      <c r="N47" s="86">
        <f t="shared" si="7"/>
        <v>243</v>
      </c>
      <c r="O47" s="86"/>
      <c r="P47" s="28">
        <f t="shared" si="1"/>
        <v>1015.2549275117711</v>
      </c>
      <c r="Q47" s="28">
        <f t="shared" si="3"/>
        <v>5.4724265168603727</v>
      </c>
      <c r="R47" s="28">
        <f t="shared" si="2"/>
        <v>0.55367575418633497</v>
      </c>
      <c r="S47" s="29">
        <f t="shared" si="4"/>
        <v>3.0299498789519652</v>
      </c>
      <c r="T47" s="1"/>
      <c r="U47" s="1"/>
      <c r="V47" s="1"/>
      <c r="W47" s="1"/>
      <c r="X47" s="1"/>
      <c r="Y47" s="1"/>
      <c r="Z47" s="1"/>
      <c r="AA47" s="1"/>
      <c r="AB47" s="1"/>
      <c r="AC47" s="1"/>
      <c r="AD47" s="1"/>
      <c r="AE47" s="1"/>
      <c r="AF47" s="1"/>
      <c r="AG47" s="1"/>
      <c r="AH47" s="1"/>
      <c r="AI47" s="1"/>
    </row>
    <row r="48" spans="1:35" ht="15.5" x14ac:dyDescent="0.35">
      <c r="A48" s="1"/>
      <c r="B48" s="1"/>
      <c r="C48" s="1"/>
      <c r="D48" s="1"/>
      <c r="E48" s="1"/>
      <c r="F48" s="1"/>
      <c r="G48" s="1"/>
      <c r="H48" s="1"/>
      <c r="I48" s="1"/>
      <c r="J48" s="1"/>
      <c r="K48" s="27">
        <v>20.5</v>
      </c>
      <c r="L48" s="30">
        <f t="shared" si="5"/>
        <v>52984</v>
      </c>
      <c r="M48" s="30">
        <f t="shared" si="0"/>
        <v>52892</v>
      </c>
      <c r="N48" s="86">
        <f t="shared" si="7"/>
        <v>249</v>
      </c>
      <c r="O48" s="86"/>
      <c r="P48" s="28">
        <f t="shared" si="1"/>
        <v>1040.3267257110999</v>
      </c>
      <c r="Q48" s="28">
        <f t="shared" si="3"/>
        <v>5.60756850886</v>
      </c>
      <c r="R48" s="28">
        <f t="shared" si="2"/>
        <v>0.54555293120949155</v>
      </c>
      <c r="S48" s="29">
        <f t="shared" si="4"/>
        <v>3.0592254369666105</v>
      </c>
      <c r="T48" s="1"/>
      <c r="U48" s="1"/>
      <c r="V48" s="1"/>
      <c r="W48" s="1"/>
      <c r="X48" s="1"/>
      <c r="Y48" s="1"/>
      <c r="Z48" s="1"/>
      <c r="AA48" s="1"/>
      <c r="AB48" s="1"/>
      <c r="AC48" s="1"/>
      <c r="AD48" s="1"/>
      <c r="AE48" s="1"/>
      <c r="AF48" s="1"/>
      <c r="AG48" s="1"/>
      <c r="AH48" s="1"/>
      <c r="AI48" s="1"/>
    </row>
    <row r="49" spans="1:35" ht="15.5" x14ac:dyDescent="0.35">
      <c r="A49" s="1"/>
      <c r="B49" s="1"/>
      <c r="C49" s="1"/>
      <c r="D49" s="1"/>
      <c r="E49" s="1"/>
      <c r="F49" s="1"/>
      <c r="G49" s="1"/>
      <c r="H49" s="1"/>
      <c r="I49" s="1"/>
      <c r="J49" s="1"/>
      <c r="K49" s="27">
        <v>21</v>
      </c>
      <c r="L49" s="30">
        <f t="shared" si="5"/>
        <v>53165</v>
      </c>
      <c r="M49" s="30">
        <f t="shared" si="0"/>
        <v>53074</v>
      </c>
      <c r="N49" s="86">
        <f t="shared" si="7"/>
        <v>255</v>
      </c>
      <c r="O49" s="86"/>
      <c r="P49" s="28">
        <f t="shared" si="1"/>
        <v>1066.0176738873597</v>
      </c>
      <c r="Q49" s="28">
        <f>(rdemption_coupon+nominal_coupon)*P49/base_RPI</f>
        <v>284.34230688286777</v>
      </c>
      <c r="R49" s="28">
        <f t="shared" si="2"/>
        <v>0.5375492759090631</v>
      </c>
      <c r="S49" s="29">
        <f>Q49*R49</f>
        <v>152.84800117519819</v>
      </c>
      <c r="T49" s="1"/>
      <c r="U49" s="1"/>
      <c r="V49" s="1"/>
      <c r="W49" s="1"/>
      <c r="X49" s="1"/>
      <c r="Y49" s="1"/>
      <c r="Z49" s="1"/>
      <c r="AA49" s="1"/>
      <c r="AB49" s="1"/>
      <c r="AC49" s="1"/>
      <c r="AD49" s="1"/>
      <c r="AE49" s="1"/>
      <c r="AF49" s="1"/>
      <c r="AG49" s="1"/>
      <c r="AH49" s="1"/>
      <c r="AI49" s="1"/>
    </row>
    <row r="50" spans="1:35" ht="15.5" x14ac:dyDescent="0.35">
      <c r="A50" s="1"/>
      <c r="B50" s="1"/>
      <c r="C50" s="1"/>
      <c r="D50" s="1"/>
      <c r="E50" s="1"/>
      <c r="F50" s="1"/>
      <c r="G50" s="1"/>
      <c r="H50" s="1"/>
      <c r="I50" s="1"/>
      <c r="J50" s="1"/>
      <c r="K50" s="36" t="s">
        <v>92</v>
      </c>
      <c r="L50" s="94">
        <f>SUM(AA30:AA72)</f>
        <v>0</v>
      </c>
      <c r="M50" s="94"/>
      <c r="N50" s="94"/>
      <c r="O50" s="94"/>
      <c r="P50" s="94"/>
      <c r="Q50" s="94"/>
      <c r="R50" s="94"/>
      <c r="S50" s="94"/>
      <c r="T50" s="1"/>
      <c r="U50" s="1"/>
      <c r="V50" s="1"/>
      <c r="W50" s="1"/>
      <c r="X50" s="1"/>
      <c r="Y50" s="1"/>
      <c r="Z50" s="1"/>
      <c r="AA50" s="1"/>
      <c r="AB50" s="1"/>
      <c r="AC50" s="1"/>
      <c r="AD50" s="1"/>
      <c r="AE50" s="1"/>
      <c r="AF50" s="1"/>
      <c r="AG50" s="1"/>
      <c r="AH50" s="1"/>
      <c r="AI50" s="1"/>
    </row>
    <row r="51" spans="1:3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1:3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pans="1:3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pans="1:3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pans="1:3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pans="1:3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pans="1:3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pans="1:3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pans="1:3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pans="1:3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pans="1:3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pans="1:3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pans="1:3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pans="1:3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spans="1:3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spans="1:3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spans="1:3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spans="1:3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spans="1:3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spans="1:3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spans="1:3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spans="1:3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spans="1:3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spans="1:3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spans="1:3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spans="1:3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spans="1:3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spans="1:3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spans="1:3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spans="1:3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1:3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1:3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1:3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1:3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spans="1:3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spans="1:3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spans="1:3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spans="1:3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spans="1:3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spans="1:3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spans="1:3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spans="1:3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spans="1:3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spans="1:3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1:3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1:3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1:3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1:3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spans="1:3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spans="1:3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spans="1:3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spans="1:3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spans="1:3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spans="1:3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spans="1:3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spans="1:3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spans="1:3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spans="1:3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spans="1:3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spans="1:3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spans="1:3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spans="1:3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spans="1:3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spans="1:3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spans="1:3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spans="1:3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spans="1:3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spans="1:3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spans="1:3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spans="1:3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spans="1:3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spans="1:3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spans="1:3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spans="1:3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spans="1:3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spans="1:3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spans="1:3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spans="1:3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spans="1:3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spans="1:3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spans="1:3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spans="1:3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spans="1:3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spans="1:3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spans="1:3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spans="1:3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spans="1:3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spans="1:3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spans="1:3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spans="1:3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spans="1:3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spans="1:3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spans="1:3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spans="1:3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spans="1:3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spans="1:3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spans="1:3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spans="1:3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spans="1:3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spans="1:3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spans="1:3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spans="1:3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spans="1:3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spans="1:3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spans="1:3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spans="1:3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spans="1:3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spans="1:3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spans="1:3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spans="1:3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spans="1:3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spans="1:3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spans="1:3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spans="1:3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spans="1:3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spans="1:3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spans="1:3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spans="1:3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spans="1:3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spans="1:3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spans="1:3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spans="1:3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spans="1:3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spans="1:3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spans="1:3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spans="1:3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spans="1:3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spans="1:3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spans="1:3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spans="1:3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spans="1:3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spans="1:3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spans="1:3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spans="1:3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spans="1:3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spans="1:3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spans="1:3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spans="1:3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spans="1:3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spans="1:3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spans="1:3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spans="1:3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spans="1:3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spans="1:3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spans="1:3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spans="1:3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spans="1:3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spans="1:3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spans="1:3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spans="1:3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spans="1:3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spans="1:3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spans="1:3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spans="1:3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spans="1:3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spans="1:3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spans="1:3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spans="1:3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spans="1:3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spans="1:3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spans="1:3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spans="1:3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spans="1:3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spans="1:3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spans="1:3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spans="1:3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spans="1:3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spans="1:3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spans="1:3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spans="1:3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spans="1:3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spans="1:3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spans="1:3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spans="1:3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spans="1:3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spans="1:3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spans="1:3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spans="1:3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spans="1:3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spans="1:3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spans="1:3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spans="1:3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spans="1:3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spans="1:3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spans="1:3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spans="1:3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spans="1:3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spans="1:3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spans="1:3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spans="1:3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spans="1:3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spans="1:3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spans="1:3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spans="1:3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spans="1:3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spans="1:3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spans="1:3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spans="1:3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spans="1:3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spans="1:3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spans="1:3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spans="1:3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spans="1:3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spans="1:3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spans="1:3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spans="1:3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spans="1:3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spans="1:3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spans="1:3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spans="1:3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spans="1:3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spans="1:3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spans="1:3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spans="1:3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spans="1:3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spans="1:3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spans="1:3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spans="1:3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spans="1:3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spans="1:3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spans="1:3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spans="1:3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spans="1:3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spans="1:3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spans="1:3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spans="1:3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spans="1:3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spans="1:3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spans="1:3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spans="1:3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spans="1:3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spans="1:3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spans="1:3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spans="1:3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spans="1:3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spans="1:3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spans="1:3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spans="1:3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spans="1:3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spans="1:3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spans="1:3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spans="1:3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spans="1:3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spans="1:3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spans="1:3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spans="1:3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spans="1:3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spans="1:3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spans="1:3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spans="1:3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spans="1:3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spans="1:3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spans="1:3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spans="1:3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spans="1:3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spans="1:3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spans="1:3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spans="1:3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spans="1:3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spans="1:3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spans="1:3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spans="1:3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spans="1:3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spans="1:3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spans="1:3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spans="1:3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spans="1:3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spans="1:3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spans="1:3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spans="1:3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spans="1:3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spans="1:3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spans="1:3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spans="1:3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spans="1:3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spans="1:3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spans="1:3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spans="1:3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spans="1:3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spans="1:3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spans="1:3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spans="1:3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spans="1:3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spans="1:3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spans="1:3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spans="1:3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spans="1:3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spans="1:3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spans="1:3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spans="1:3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spans="1:3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spans="1:3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spans="1:3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spans="1:3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spans="1:3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spans="1:3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spans="1:3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spans="1:3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spans="1:3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spans="1:3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spans="1:3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spans="1:3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spans="1:3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spans="1:3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spans="1:3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spans="1:3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spans="1:3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spans="1:3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spans="1:3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spans="1:3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spans="1:3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spans="1:3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spans="1:3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spans="1:3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spans="1:3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spans="1:3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spans="1:3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spans="1:3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spans="1:3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spans="1:3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spans="1:3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spans="1:3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spans="1:3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spans="1:3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spans="1:3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spans="1:3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spans="1:3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spans="1:3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spans="1:3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spans="1:3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spans="1:3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spans="1:3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spans="1:3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spans="1:3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spans="1:3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spans="1:3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spans="1:3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spans="1:3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spans="1:3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spans="1:3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spans="1:3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spans="1:3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spans="1:3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spans="1:3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spans="1:3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spans="1:3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spans="1:3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spans="1:3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spans="1:3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spans="1:3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spans="1:3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spans="1:3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spans="1:3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spans="1:3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spans="1:3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spans="1:3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spans="1:3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spans="1:3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spans="1:3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spans="1:3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spans="1:3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spans="1:3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spans="1:3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spans="1:3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spans="1:3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spans="1:3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spans="1:3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spans="1:3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spans="1:3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spans="1:3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spans="1:3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spans="1:3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spans="1:3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spans="1:3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spans="1:3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spans="1:3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spans="1:3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spans="1:3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spans="1:3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spans="1:3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spans="1:3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spans="1:3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spans="1:3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spans="1:3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spans="1:3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spans="1:3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spans="1:3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spans="1:3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spans="1:3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spans="1:3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spans="1:3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spans="1:3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spans="1:3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spans="1:3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spans="1:3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spans="1:3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spans="1:3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spans="1:3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spans="1:3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spans="1:3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spans="1:3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spans="1:3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spans="1:3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spans="1:3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spans="1:3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spans="1:3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spans="1:3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spans="1:3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spans="1:3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spans="1:3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spans="1:3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spans="1:3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spans="1:3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spans="1:3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spans="1:3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spans="1:3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spans="1:3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spans="1:3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spans="1:3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spans="1:3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spans="1:3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spans="1:3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spans="1:3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spans="1:3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spans="1:3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spans="1:3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spans="1:3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spans="1:3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spans="1:3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spans="1:3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spans="1:3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spans="1:3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spans="1:3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spans="1:3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spans="1:3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spans="1:3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spans="1:3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spans="1:3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spans="1:3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spans="1:3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spans="1:3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spans="1:3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spans="1:3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spans="1:3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spans="1:3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spans="1:3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spans="1:3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spans="1:3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spans="1:3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spans="1:3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spans="1:3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spans="1:3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spans="1:3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spans="1:3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spans="1:3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spans="1:3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spans="1:3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spans="1:3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spans="1:3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spans="1:3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spans="1:3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spans="1:3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spans="1:3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spans="1:3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spans="1:3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spans="1:3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spans="1:3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spans="1:3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spans="1:3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spans="1:3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spans="1:3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spans="1:3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spans="1:3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spans="1:3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spans="1:3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spans="1:3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spans="1:3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spans="1:3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spans="1:3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spans="1:3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spans="1:3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spans="1:3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spans="1:3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spans="1:3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spans="1:3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spans="1:3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spans="1:3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spans="1:3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spans="1:3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spans="1:3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spans="1:3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spans="1:3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spans="1:3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spans="1:3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spans="1:3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spans="1:3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spans="1:3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spans="1:3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spans="1:3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spans="1:3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spans="1:3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spans="1:3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spans="1:3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spans="1:3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spans="1:3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spans="1:3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spans="1:3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spans="1:3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spans="1:3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spans="1:3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spans="1:3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spans="1:3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spans="1:3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spans="1:3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spans="1:3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spans="1:3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spans="1:3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spans="1:3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spans="1:3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spans="1:3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spans="1:3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spans="1:3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spans="1:3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spans="1:3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spans="1:3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spans="1:3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spans="1:3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spans="1:3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spans="1:3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spans="1:3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spans="1:3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spans="1:3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spans="1:3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spans="1:3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spans="1:3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spans="1:3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spans="1:3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spans="1:3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spans="1:3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spans="1:3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spans="1:3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spans="1:3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spans="1:3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spans="1:3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spans="1:3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spans="1:3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spans="1:3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spans="1:3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spans="1:3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spans="1:3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spans="1:3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spans="1:3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1:3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1:3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spans="1:3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spans="1:3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spans="1:3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spans="1:3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spans="1:3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spans="1:3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spans="1:3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spans="1:3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spans="1:3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spans="1:3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spans="1:3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spans="1:3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spans="1:3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spans="1:3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spans="1:3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spans="1:3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spans="1:3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spans="1:3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spans="1:3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spans="1:3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spans="1:3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spans="1:3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spans="1:3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spans="1:3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spans="1:3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spans="1:3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spans="1:3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spans="1:3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spans="1:3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spans="1:3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spans="1:3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spans="1:3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spans="1:3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spans="1:3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spans="1:3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spans="1:3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spans="1:3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spans="1:3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spans="1:3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spans="1:3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spans="1:3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spans="1:3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spans="1:3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spans="1:3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spans="1:3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spans="1:3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spans="1:3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spans="1:3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spans="1:3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spans="1:3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spans="1:3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spans="1:3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spans="1:3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spans="1:3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spans="1:3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spans="1:3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spans="1:3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spans="1:3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spans="1:3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spans="1:3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spans="1:3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spans="1:3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spans="1:3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spans="1:3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spans="1:3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spans="1:3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spans="1:3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spans="1:3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spans="1:3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spans="1:3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spans="1:3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spans="1:3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spans="1:3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spans="1:3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spans="1:3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spans="1:3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spans="1:3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spans="1:3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spans="1:3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spans="1:3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spans="1:3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spans="1:3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spans="1:3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spans="1:3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spans="1:3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spans="1:3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spans="1:3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spans="1:3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spans="1:3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spans="1:3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spans="1:3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spans="1:3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spans="1:3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spans="1:3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spans="1:3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spans="1:3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spans="1:3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spans="1:3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spans="1:3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spans="1:3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spans="1:3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spans="1:3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spans="1:3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spans="1:3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spans="1:3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spans="1:3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spans="1:3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spans="1:3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spans="1:3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spans="1:3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spans="1:3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spans="1:3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spans="1:3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spans="1:3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spans="1:3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spans="1:3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spans="1:3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spans="1:3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spans="1:3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spans="1:3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spans="1:3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spans="1:3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spans="1:3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spans="1:3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spans="1:3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spans="1:3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spans="1:3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spans="1:3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spans="1:3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spans="1:3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spans="1:3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spans="1:3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spans="1:3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spans="1:3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spans="1:3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spans="1:3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spans="1:3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spans="1:3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spans="1:3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spans="1:3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spans="1:3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spans="1:3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spans="1:3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spans="1:3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spans="1:3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spans="1:3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spans="1:3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spans="1:3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spans="1:3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spans="1:3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spans="1:3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spans="1:3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spans="1:3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spans="1:3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spans="1:3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spans="1:3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spans="1:3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spans="1:3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spans="1:3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spans="1:3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spans="1:3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spans="1:3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spans="1:3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spans="1:3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spans="1:3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spans="1:3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spans="1:3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spans="1:3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spans="1:3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spans="1:3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spans="1:3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spans="1:3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spans="1:3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spans="1:3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spans="1:3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spans="1:3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spans="1:3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spans="1:3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spans="1:3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spans="1:3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spans="1:3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spans="1:3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spans="1:3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spans="1:3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spans="1:3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spans="1:3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spans="1:3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spans="1:3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spans="1:3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spans="1:3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spans="1:3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spans="1:3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spans="1:3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spans="1:3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spans="1:3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spans="1:3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spans="1:3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spans="1:3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spans="1:3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spans="1:3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spans="1:3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spans="1:3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spans="1:3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spans="1:3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spans="1:3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spans="1:3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spans="1:3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spans="1:3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spans="1:3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spans="1:3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spans="1:3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spans="1:3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spans="1:3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spans="1:3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spans="1:3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spans="1:3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spans="1:3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spans="1:3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spans="1:3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spans="1:3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spans="1:3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spans="1:3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spans="1:3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spans="1:3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spans="1:3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spans="1:3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spans="1:3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spans="1:3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spans="1:3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spans="1:3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spans="1:3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spans="1:3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spans="1:3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spans="1:3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spans="1:3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spans="1:3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spans="1:3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spans="1:3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spans="1:3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spans="1:3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spans="1:3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spans="1:3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spans="1:3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spans="1:3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spans="1:3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spans="1:3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spans="1:3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spans="1:3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spans="1:3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sheetData>
  <mergeCells count="65">
    <mergeCell ref="K4:K5"/>
    <mergeCell ref="L4:L5"/>
    <mergeCell ref="L50:S50"/>
    <mergeCell ref="E12:G12"/>
    <mergeCell ref="E13:G13"/>
    <mergeCell ref="E15:G15"/>
    <mergeCell ref="E19:G19"/>
    <mergeCell ref="E20:G20"/>
    <mergeCell ref="N16:O16"/>
    <mergeCell ref="N17:O17"/>
    <mergeCell ref="N18:O18"/>
    <mergeCell ref="N19:O19"/>
    <mergeCell ref="E16:G16"/>
    <mergeCell ref="E17:G17"/>
    <mergeCell ref="E18:G18"/>
    <mergeCell ref="N11:O11"/>
    <mergeCell ref="N12:O12"/>
    <mergeCell ref="N13:O13"/>
    <mergeCell ref="N14:O14"/>
    <mergeCell ref="N15:O15"/>
    <mergeCell ref="N32:O32"/>
    <mergeCell ref="N21:O21"/>
    <mergeCell ref="N22:O22"/>
    <mergeCell ref="N23:O23"/>
    <mergeCell ref="N24:O24"/>
    <mergeCell ref="N25:O25"/>
    <mergeCell ref="N26:O26"/>
    <mergeCell ref="N27:O27"/>
    <mergeCell ref="N28:O28"/>
    <mergeCell ref="N29:O29"/>
    <mergeCell ref="N30:O30"/>
    <mergeCell ref="N31:O31"/>
    <mergeCell ref="N44:O44"/>
    <mergeCell ref="N33:O33"/>
    <mergeCell ref="N34:O34"/>
    <mergeCell ref="N35:O35"/>
    <mergeCell ref="N36:O36"/>
    <mergeCell ref="N37:O37"/>
    <mergeCell ref="N38:O38"/>
    <mergeCell ref="N39:O39"/>
    <mergeCell ref="N40:O40"/>
    <mergeCell ref="N41:O41"/>
    <mergeCell ref="N42:O42"/>
    <mergeCell ref="N43:O43"/>
    <mergeCell ref="N45:O45"/>
    <mergeCell ref="N46:O46"/>
    <mergeCell ref="N47:O47"/>
    <mergeCell ref="N48:O48"/>
    <mergeCell ref="N49:O49"/>
    <mergeCell ref="C25:D25"/>
    <mergeCell ref="E24:E25"/>
    <mergeCell ref="P4:P5"/>
    <mergeCell ref="R4:R5"/>
    <mergeCell ref="S4:S5"/>
    <mergeCell ref="E21:G21"/>
    <mergeCell ref="C24:D24"/>
    <mergeCell ref="N7:O7"/>
    <mergeCell ref="N4:O4"/>
    <mergeCell ref="N5:O5"/>
    <mergeCell ref="N6:O6"/>
    <mergeCell ref="N8:O8"/>
    <mergeCell ref="E14:G14"/>
    <mergeCell ref="N20:O20"/>
    <mergeCell ref="N9:O9"/>
    <mergeCell ref="N10:O10"/>
  </mergeCell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28196-A059-4295-9688-5D298C482D3E}">
  <dimension ref="A1:AI949"/>
  <sheetViews>
    <sheetView topLeftCell="I6" zoomScale="70" zoomScaleNormal="70" workbookViewId="0">
      <selection activeCell="E10" sqref="E10"/>
    </sheetView>
  </sheetViews>
  <sheetFormatPr defaultRowHeight="14.5" x14ac:dyDescent="0.35"/>
  <cols>
    <col min="1" max="1" width="12.1796875" customWidth="1"/>
    <col min="2" max="2" width="12" bestFit="1" customWidth="1"/>
    <col min="3" max="3" width="21.90625" bestFit="1" customWidth="1"/>
    <col min="4" max="4" width="18.1796875" bestFit="1" customWidth="1"/>
    <col min="5" max="5" width="20.08984375" customWidth="1"/>
    <col min="6" max="6" width="21.08984375" customWidth="1"/>
    <col min="7" max="7" width="22.1796875" customWidth="1"/>
    <col min="12" max="12" width="16.08984375" bestFit="1" customWidth="1"/>
    <col min="13" max="13" width="36" bestFit="1" customWidth="1"/>
    <col min="14" max="14" width="23" customWidth="1"/>
    <col min="15" max="15" width="25.54296875" customWidth="1"/>
    <col min="16" max="16" width="28.36328125" bestFit="1" customWidth="1"/>
    <col min="17" max="17" width="30.36328125" bestFit="1" customWidth="1"/>
    <col min="18" max="18" width="18.54296875" bestFit="1" customWidth="1"/>
    <col min="19" max="19" width="16.1796875" bestFit="1" customWidth="1"/>
  </cols>
  <sheetData>
    <row r="1" spans="1:35" ht="15.5" x14ac:dyDescent="0.35">
      <c r="A1" s="31" t="s">
        <v>1</v>
      </c>
      <c r="B1" s="3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x14ac:dyDescent="0.3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x14ac:dyDescent="0.35">
      <c r="A3" s="1"/>
      <c r="B3" s="2"/>
      <c r="C3" s="2"/>
      <c r="D3" s="6"/>
      <c r="E3" s="6"/>
      <c r="F3" s="6"/>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ht="15.5" x14ac:dyDescent="0.35">
      <c r="A4" s="1"/>
      <c r="B4" s="3"/>
      <c r="C4" s="4"/>
      <c r="D4" s="5"/>
      <c r="E4" s="5"/>
      <c r="F4" s="5"/>
      <c r="G4" s="1"/>
      <c r="H4" s="1"/>
      <c r="I4" s="1"/>
      <c r="J4" s="1"/>
      <c r="K4" s="92" t="s">
        <v>10</v>
      </c>
      <c r="L4" s="79" t="s">
        <v>15</v>
      </c>
      <c r="M4" s="19" t="s">
        <v>40</v>
      </c>
      <c r="N4" s="87" t="s">
        <v>85</v>
      </c>
      <c r="O4" s="88"/>
      <c r="P4" s="79" t="s">
        <v>77</v>
      </c>
      <c r="Q4" s="19" t="s">
        <v>87</v>
      </c>
      <c r="R4" s="79" t="s">
        <v>24</v>
      </c>
      <c r="S4" s="79" t="s">
        <v>25</v>
      </c>
      <c r="T4" s="1"/>
      <c r="U4" s="1"/>
      <c r="V4" s="1"/>
      <c r="W4" s="1"/>
      <c r="X4" s="1"/>
      <c r="Y4" s="1"/>
      <c r="Z4" s="1"/>
      <c r="AA4" s="1"/>
      <c r="AB4" s="1"/>
      <c r="AC4" s="1"/>
      <c r="AD4" s="1"/>
      <c r="AE4" s="1"/>
      <c r="AF4" s="1"/>
      <c r="AG4" s="1"/>
      <c r="AH4" s="1"/>
      <c r="AI4" s="1"/>
    </row>
    <row r="5" spans="1:35" ht="15.5" x14ac:dyDescent="0.35">
      <c r="A5" s="1"/>
      <c r="B5" s="3"/>
      <c r="H5" s="1"/>
      <c r="I5" s="1"/>
      <c r="J5" s="1"/>
      <c r="K5" s="93"/>
      <c r="L5" s="80"/>
      <c r="M5" s="21" t="s">
        <v>86</v>
      </c>
      <c r="N5" s="89" t="s">
        <v>89</v>
      </c>
      <c r="O5" s="90"/>
      <c r="P5" s="80"/>
      <c r="Q5" s="21" t="s">
        <v>88</v>
      </c>
      <c r="R5" s="80"/>
      <c r="S5" s="80"/>
      <c r="T5" s="1"/>
      <c r="U5" s="1"/>
      <c r="V5" s="1"/>
      <c r="W5" s="1"/>
      <c r="X5" s="1"/>
      <c r="Y5" s="1"/>
      <c r="Z5" s="1"/>
      <c r="AA5" s="1"/>
      <c r="AB5" s="1"/>
      <c r="AC5" s="1"/>
      <c r="AD5" s="1"/>
      <c r="AE5" s="1"/>
      <c r="AF5" s="1"/>
      <c r="AG5" s="1"/>
      <c r="AH5" s="1"/>
      <c r="AI5" s="1"/>
    </row>
    <row r="6" spans="1:35" ht="15.5" x14ac:dyDescent="0.35">
      <c r="A6" s="1"/>
      <c r="B6" s="3"/>
      <c r="H6" s="1"/>
      <c r="I6" s="1"/>
      <c r="J6" s="1"/>
      <c r="K6" s="22" t="s">
        <v>14</v>
      </c>
      <c r="L6" s="23" t="s">
        <v>18</v>
      </c>
      <c r="M6" s="23" t="s">
        <v>18</v>
      </c>
      <c r="N6" s="91" t="s">
        <v>21</v>
      </c>
      <c r="O6" s="91"/>
      <c r="P6" s="23"/>
      <c r="Q6" s="24" t="s">
        <v>31</v>
      </c>
      <c r="R6" s="23"/>
      <c r="S6" s="24" t="s">
        <v>31</v>
      </c>
      <c r="T6" s="1"/>
      <c r="U6" s="1"/>
      <c r="V6" s="1"/>
      <c r="W6" s="1"/>
      <c r="X6" s="1"/>
      <c r="Y6" s="1"/>
      <c r="Z6" s="1"/>
      <c r="AA6" s="1"/>
      <c r="AB6" s="1"/>
      <c r="AC6" s="1"/>
      <c r="AD6" s="1"/>
      <c r="AE6" s="1"/>
      <c r="AF6" s="1"/>
      <c r="AG6" s="1"/>
      <c r="AH6" s="1"/>
      <c r="AI6" s="1"/>
    </row>
    <row r="7" spans="1:35" ht="15.5" x14ac:dyDescent="0.35">
      <c r="A7" s="1"/>
      <c r="B7" s="3"/>
      <c r="E7" s="102" t="s">
        <v>93</v>
      </c>
      <c r="F7" s="102"/>
      <c r="H7" s="1"/>
      <c r="I7" s="1"/>
      <c r="J7" s="1"/>
      <c r="K7" s="25">
        <v>0</v>
      </c>
      <c r="L7" s="26">
        <f>issue_date</f>
        <v>45495</v>
      </c>
      <c r="M7" s="26">
        <f t="shared" ref="M7:M49" si="0">DATE(YEAR(L7), MONTH(L7)-time_lag, DAY(L7))</f>
        <v>45404</v>
      </c>
      <c r="N7" s="86">
        <v>3</v>
      </c>
      <c r="O7" s="86"/>
      <c r="P7" s="28">
        <f t="shared" ref="P7:P49" si="1">last_RPI*(1+q)^(N7/12)</f>
        <v>382.63890461417685</v>
      </c>
      <c r="Q7" s="28">
        <f>-SUM(S8:S49)</f>
        <v>-199.99999999999997</v>
      </c>
      <c r="R7" s="28">
        <f t="shared" ref="R7:R49" si="2">(1+i)^(-1*K7)</f>
        <v>1</v>
      </c>
      <c r="S7" s="38">
        <f>Q7*R7</f>
        <v>-199.99999999999997</v>
      </c>
      <c r="T7" s="1"/>
      <c r="U7" s="1"/>
      <c r="V7" s="1"/>
      <c r="W7" s="1"/>
      <c r="X7" s="1"/>
      <c r="Y7" s="1"/>
      <c r="Z7" s="1"/>
      <c r="AA7" s="1"/>
      <c r="AB7" s="1"/>
      <c r="AC7" s="1"/>
      <c r="AD7" s="1"/>
      <c r="AE7" s="1"/>
      <c r="AF7" s="1"/>
      <c r="AG7" s="1"/>
      <c r="AH7" s="1"/>
      <c r="AI7" s="1"/>
    </row>
    <row r="8" spans="1:35" ht="15.5" x14ac:dyDescent="0.35">
      <c r="A8" s="1"/>
      <c r="B8" s="3"/>
      <c r="C8" s="3"/>
      <c r="D8" s="8"/>
      <c r="E8" s="17" t="s">
        <v>95</v>
      </c>
      <c r="F8" s="18" t="s">
        <v>94</v>
      </c>
      <c r="G8" s="5"/>
      <c r="H8" s="1"/>
      <c r="I8" s="1"/>
      <c r="J8" s="1"/>
      <c r="K8" s="27">
        <v>0.5</v>
      </c>
      <c r="L8" s="30">
        <f xml:space="preserve"> DATE(YEAR(L7), MONTH(L7)+6, DAY(L7))</f>
        <v>45679</v>
      </c>
      <c r="M8" s="30">
        <f t="shared" si="0"/>
        <v>45587</v>
      </c>
      <c r="N8" s="86">
        <f>N7+6</f>
        <v>9</v>
      </c>
      <c r="O8" s="86"/>
      <c r="P8" s="28">
        <f t="shared" si="1"/>
        <v>392.08820167221808</v>
      </c>
      <c r="Q8" s="47">
        <f>nominal_coupon*P8/base_RPI</f>
        <v>0.9900820925822017</v>
      </c>
      <c r="R8" s="28">
        <f t="shared" si="2"/>
        <v>0.98532927816429317</v>
      </c>
      <c r="S8" s="29">
        <f t="shared" ref="S8:S48" si="3">Q8*R8</f>
        <v>0.97555687360741372</v>
      </c>
      <c r="T8" s="1"/>
      <c r="U8" s="1"/>
      <c r="V8" s="1"/>
      <c r="W8" s="1"/>
      <c r="X8" s="1"/>
      <c r="Y8" s="1"/>
      <c r="Z8" s="1"/>
      <c r="AA8" s="1"/>
      <c r="AB8" s="1"/>
      <c r="AC8" s="1"/>
      <c r="AD8" s="1"/>
      <c r="AE8" s="1"/>
      <c r="AF8" s="1"/>
      <c r="AG8" s="1"/>
      <c r="AH8" s="1"/>
      <c r="AI8" s="1"/>
    </row>
    <row r="9" spans="1:35" ht="15.5" x14ac:dyDescent="0.35">
      <c r="A9" s="1"/>
      <c r="B9" s="3"/>
      <c r="H9" s="1"/>
      <c r="I9" s="1"/>
      <c r="J9" s="1"/>
      <c r="K9" s="27">
        <v>1</v>
      </c>
      <c r="L9" s="30">
        <f t="shared" ref="L9:L49" si="4" xml:space="preserve"> DATE(YEAR(L8), MONTH(L8)+6, DAY(L8))</f>
        <v>45860</v>
      </c>
      <c r="M9" s="30">
        <f t="shared" si="0"/>
        <v>45769</v>
      </c>
      <c r="N9" s="86">
        <f>N8+6</f>
        <v>15</v>
      </c>
      <c r="O9" s="86"/>
      <c r="P9" s="28">
        <f t="shared" si="1"/>
        <v>401.77084984488573</v>
      </c>
      <c r="Q9" s="28">
        <f t="shared" ref="Q9:Q48" si="5">nominal_coupon*P9/base_RPI</f>
        <v>1.0145322456948076</v>
      </c>
      <c r="R9" s="28">
        <f t="shared" si="2"/>
        <v>0.970873786407767</v>
      </c>
      <c r="S9" s="29">
        <f t="shared" si="3"/>
        <v>0.9849827628104928</v>
      </c>
      <c r="T9" s="1"/>
      <c r="U9" s="1"/>
      <c r="V9" s="1"/>
      <c r="W9" s="1"/>
      <c r="X9" s="1"/>
      <c r="Y9" s="1"/>
      <c r="Z9" s="1"/>
      <c r="AA9" s="1"/>
      <c r="AB9" s="1"/>
      <c r="AC9" s="1"/>
      <c r="AD9" s="1"/>
      <c r="AE9" s="1"/>
      <c r="AF9" s="1"/>
      <c r="AG9" s="1"/>
      <c r="AH9" s="1"/>
      <c r="AI9" s="1"/>
    </row>
    <row r="10" spans="1:35" ht="15.5" x14ac:dyDescent="0.35">
      <c r="A10" s="1"/>
      <c r="B10" s="3"/>
      <c r="H10" s="1"/>
      <c r="I10" s="1"/>
      <c r="J10" s="1"/>
      <c r="K10" s="27">
        <v>1.5</v>
      </c>
      <c r="L10" s="30">
        <f t="shared" si="4"/>
        <v>46044</v>
      </c>
      <c r="M10" s="30">
        <f t="shared" si="0"/>
        <v>45952</v>
      </c>
      <c r="N10" s="86">
        <f t="shared" ref="N10:N49" si="6">N9+6</f>
        <v>21</v>
      </c>
      <c r="O10" s="86"/>
      <c r="P10" s="28">
        <f t="shared" si="1"/>
        <v>411.69261175582903</v>
      </c>
      <c r="Q10" s="28">
        <f t="shared" si="5"/>
        <v>1.0395861972113118</v>
      </c>
      <c r="R10" s="28">
        <f t="shared" si="2"/>
        <v>0.9566303671497991</v>
      </c>
      <c r="S10" s="29">
        <f t="shared" si="3"/>
        <v>0.99449972552212074</v>
      </c>
      <c r="T10" s="1"/>
      <c r="U10" s="1"/>
      <c r="V10" s="1"/>
      <c r="W10" s="1"/>
      <c r="X10" s="1"/>
      <c r="Y10" s="1"/>
      <c r="Z10" s="1"/>
      <c r="AA10" s="1"/>
      <c r="AB10" s="1"/>
      <c r="AC10" s="1"/>
      <c r="AD10" s="1"/>
      <c r="AE10" s="1"/>
      <c r="AF10" s="1"/>
      <c r="AG10" s="1"/>
      <c r="AH10" s="1"/>
      <c r="AI10" s="1"/>
    </row>
    <row r="11" spans="1:35" ht="15.5" x14ac:dyDescent="0.35">
      <c r="A11" s="1"/>
      <c r="B11" s="3"/>
      <c r="C11" s="3"/>
      <c r="D11" s="7"/>
      <c r="E11" s="5"/>
      <c r="F11" s="5"/>
      <c r="G11" s="5"/>
      <c r="H11" s="1"/>
      <c r="I11" s="1"/>
      <c r="J11" s="1"/>
      <c r="K11" s="27">
        <v>2</v>
      </c>
      <c r="L11" s="30">
        <f t="shared" si="4"/>
        <v>46225</v>
      </c>
      <c r="M11" s="30">
        <f t="shared" si="0"/>
        <v>46134</v>
      </c>
      <c r="N11" s="86">
        <f t="shared" si="6"/>
        <v>27</v>
      </c>
      <c r="O11" s="86"/>
      <c r="P11" s="28">
        <f t="shared" si="1"/>
        <v>421.85939233713003</v>
      </c>
      <c r="Q11" s="28">
        <f t="shared" si="5"/>
        <v>1.0652588579795479</v>
      </c>
      <c r="R11" s="28">
        <f t="shared" si="2"/>
        <v>0.94259590913375435</v>
      </c>
      <c r="S11" s="29">
        <f t="shared" si="3"/>
        <v>1.0041086417000169</v>
      </c>
      <c r="T11" s="1"/>
      <c r="U11" s="1"/>
      <c r="V11" s="1"/>
      <c r="W11" s="1"/>
      <c r="X11" s="1"/>
      <c r="Y11" s="1"/>
      <c r="Z11" s="1"/>
      <c r="AA11" s="1"/>
      <c r="AB11" s="1"/>
      <c r="AC11" s="1"/>
      <c r="AD11" s="1"/>
      <c r="AE11" s="1"/>
      <c r="AF11" s="1"/>
      <c r="AG11" s="1"/>
      <c r="AH11" s="1"/>
      <c r="AI11" s="1"/>
    </row>
    <row r="12" spans="1:35" ht="15.5" x14ac:dyDescent="0.35">
      <c r="A12" s="1"/>
      <c r="B12" s="3"/>
      <c r="C12" s="10" t="s">
        <v>2</v>
      </c>
      <c r="D12" s="10" t="s">
        <v>3</v>
      </c>
      <c r="E12" s="95" t="s">
        <v>4</v>
      </c>
      <c r="F12" s="96"/>
      <c r="G12" s="97"/>
      <c r="H12" s="1"/>
      <c r="I12" s="1"/>
      <c r="J12" s="1"/>
      <c r="K12" s="27">
        <v>2.5</v>
      </c>
      <c r="L12" s="30">
        <f t="shared" si="4"/>
        <v>46409</v>
      </c>
      <c r="M12" s="30">
        <f t="shared" si="0"/>
        <v>46317</v>
      </c>
      <c r="N12" s="86">
        <f t="shared" si="6"/>
        <v>33</v>
      </c>
      <c r="O12" s="86"/>
      <c r="P12" s="28">
        <f t="shared" si="1"/>
        <v>432.27724234362051</v>
      </c>
      <c r="Q12" s="28">
        <f t="shared" si="5"/>
        <v>1.0915655070718775</v>
      </c>
      <c r="R12" s="28">
        <f t="shared" si="2"/>
        <v>0.92876734674737782</v>
      </c>
      <c r="S12" s="29">
        <f t="shared" si="3"/>
        <v>1.0138103998041037</v>
      </c>
      <c r="T12" s="1"/>
      <c r="U12" s="1"/>
      <c r="V12" s="1"/>
      <c r="W12" s="1"/>
      <c r="X12" s="1"/>
      <c r="Y12" s="1"/>
      <c r="Z12" s="1"/>
      <c r="AA12" s="1"/>
      <c r="AB12" s="1"/>
      <c r="AC12" s="1"/>
      <c r="AD12" s="1"/>
      <c r="AE12" s="1"/>
      <c r="AF12" s="1"/>
      <c r="AG12" s="1"/>
      <c r="AH12" s="1"/>
      <c r="AI12" s="1"/>
    </row>
    <row r="13" spans="1:35" ht="15.5" x14ac:dyDescent="0.35">
      <c r="A13" s="1"/>
      <c r="B13" s="3"/>
      <c r="C13" s="11" t="s">
        <v>13</v>
      </c>
      <c r="D13" s="12">
        <v>45495</v>
      </c>
      <c r="E13" s="81" t="s">
        <v>16</v>
      </c>
      <c r="F13" s="82"/>
      <c r="G13" s="83"/>
      <c r="H13" s="1"/>
      <c r="I13" s="1"/>
      <c r="J13" s="1"/>
      <c r="K13" s="27">
        <v>3</v>
      </c>
      <c r="L13" s="30">
        <f t="shared" si="4"/>
        <v>46590</v>
      </c>
      <c r="M13" s="30">
        <f t="shared" si="0"/>
        <v>46499</v>
      </c>
      <c r="N13" s="86">
        <f t="shared" si="6"/>
        <v>39</v>
      </c>
      <c r="O13" s="86"/>
      <c r="P13" s="28">
        <f t="shared" si="1"/>
        <v>442.95236195398655</v>
      </c>
      <c r="Q13" s="28">
        <f t="shared" si="5"/>
        <v>1.1185218008785254</v>
      </c>
      <c r="R13" s="28">
        <f t="shared" si="2"/>
        <v>0.91514165935315961</v>
      </c>
      <c r="S13" s="29">
        <f t="shared" si="3"/>
        <v>1.0236058968786581</v>
      </c>
      <c r="T13" s="1"/>
      <c r="U13" s="1"/>
      <c r="V13" s="1"/>
      <c r="W13" s="1"/>
      <c r="X13" s="1"/>
      <c r="Y13" s="1"/>
      <c r="Z13" s="1"/>
      <c r="AA13" s="1"/>
      <c r="AB13" s="1"/>
      <c r="AC13" s="1"/>
      <c r="AD13" s="1"/>
      <c r="AE13" s="1"/>
      <c r="AF13" s="1"/>
      <c r="AG13" s="1"/>
      <c r="AH13" s="1"/>
      <c r="AI13" s="1"/>
    </row>
    <row r="14" spans="1:35" ht="15.5" x14ac:dyDescent="0.35">
      <c r="A14" s="1"/>
      <c r="B14" s="3"/>
      <c r="C14" s="11" t="s">
        <v>12</v>
      </c>
      <c r="D14" s="12">
        <v>53165</v>
      </c>
      <c r="E14" s="81" t="s">
        <v>17</v>
      </c>
      <c r="F14" s="82"/>
      <c r="G14" s="83"/>
      <c r="H14" s="1"/>
      <c r="I14" s="1"/>
      <c r="J14" s="1"/>
      <c r="K14" s="27">
        <v>3.5</v>
      </c>
      <c r="L14" s="30">
        <f t="shared" si="4"/>
        <v>46774</v>
      </c>
      <c r="M14" s="30">
        <f t="shared" si="0"/>
        <v>46682</v>
      </c>
      <c r="N14" s="86">
        <f t="shared" si="6"/>
        <v>45</v>
      </c>
      <c r="O14" s="86"/>
      <c r="P14" s="28">
        <f t="shared" si="1"/>
        <v>453.89110446080161</v>
      </c>
      <c r="Q14" s="28">
        <f t="shared" si="5"/>
        <v>1.1461437824254717</v>
      </c>
      <c r="R14" s="28">
        <f t="shared" si="2"/>
        <v>0.9017158706285221</v>
      </c>
      <c r="S14" s="29">
        <f t="shared" si="3"/>
        <v>1.0334960386352516</v>
      </c>
      <c r="T14" s="1"/>
      <c r="U14" s="1"/>
      <c r="V14" s="1"/>
      <c r="W14" s="1"/>
      <c r="X14" s="1"/>
      <c r="Y14" s="1"/>
      <c r="Z14" s="1"/>
      <c r="AA14" s="1"/>
      <c r="AB14" s="1"/>
      <c r="AC14" s="1"/>
      <c r="AD14" s="1"/>
      <c r="AE14" s="1"/>
      <c r="AF14" s="1"/>
      <c r="AG14" s="1"/>
      <c r="AH14" s="1"/>
      <c r="AI14" s="1"/>
    </row>
    <row r="15" spans="1:35" ht="15.5" x14ac:dyDescent="0.35">
      <c r="A15" s="1"/>
      <c r="B15" s="3"/>
      <c r="C15" s="11" t="s">
        <v>11</v>
      </c>
      <c r="D15" s="13">
        <v>378</v>
      </c>
      <c r="E15" s="81" t="s">
        <v>5</v>
      </c>
      <c r="F15" s="82"/>
      <c r="G15" s="83"/>
      <c r="H15" s="1"/>
      <c r="I15" s="1"/>
      <c r="J15" s="1"/>
      <c r="K15" s="27">
        <v>4</v>
      </c>
      <c r="L15" s="30">
        <f t="shared" si="4"/>
        <v>46956</v>
      </c>
      <c r="M15" s="30">
        <f t="shared" si="0"/>
        <v>46865</v>
      </c>
      <c r="N15" s="86">
        <f t="shared" si="6"/>
        <v>51</v>
      </c>
      <c r="O15" s="86"/>
      <c r="P15" s="28">
        <f t="shared" si="1"/>
        <v>465.09998005168592</v>
      </c>
      <c r="Q15" s="28">
        <f t="shared" si="5"/>
        <v>1.1744478909224516</v>
      </c>
      <c r="R15" s="28">
        <f t="shared" si="2"/>
        <v>0.888487047915689</v>
      </c>
      <c r="S15" s="29">
        <f t="shared" si="3"/>
        <v>1.0434817395364961</v>
      </c>
      <c r="T15" s="1"/>
      <c r="U15" s="1"/>
      <c r="V15" s="1"/>
      <c r="W15" s="1"/>
      <c r="X15" s="1"/>
      <c r="Y15" s="1"/>
      <c r="Z15" s="1"/>
      <c r="AA15" s="1"/>
      <c r="AB15" s="1"/>
      <c r="AC15" s="1"/>
      <c r="AD15" s="1"/>
      <c r="AE15" s="1"/>
      <c r="AF15" s="1"/>
      <c r="AG15" s="1"/>
      <c r="AH15" s="1"/>
      <c r="AI15" s="1"/>
    </row>
    <row r="16" spans="1:35" ht="15.5" x14ac:dyDescent="0.35">
      <c r="A16" s="1"/>
      <c r="B16" s="1"/>
      <c r="C16" s="11" t="s">
        <v>7</v>
      </c>
      <c r="D16" s="13">
        <v>3</v>
      </c>
      <c r="E16" s="81" t="s">
        <v>19</v>
      </c>
      <c r="F16" s="82"/>
      <c r="G16" s="83"/>
      <c r="H16" s="1"/>
      <c r="I16" s="1"/>
      <c r="J16" s="1"/>
      <c r="K16" s="27">
        <v>4.5</v>
      </c>
      <c r="L16" s="30">
        <f t="shared" si="4"/>
        <v>47140</v>
      </c>
      <c r="M16" s="30">
        <f t="shared" si="0"/>
        <v>47048</v>
      </c>
      <c r="N16" s="86">
        <f t="shared" si="6"/>
        <v>57</v>
      </c>
      <c r="O16" s="86"/>
      <c r="P16" s="28">
        <f t="shared" si="1"/>
        <v>476.5856596838417</v>
      </c>
      <c r="Q16" s="28">
        <f t="shared" si="5"/>
        <v>1.2034509715467452</v>
      </c>
      <c r="R16" s="28">
        <f t="shared" si="2"/>
        <v>0.87545230158108933</v>
      </c>
      <c r="S16" s="29">
        <f t="shared" si="3"/>
        <v>1.0535639228805962</v>
      </c>
      <c r="T16" s="1"/>
      <c r="U16" s="1"/>
      <c r="V16" s="1"/>
      <c r="W16" s="1"/>
      <c r="X16" s="1"/>
      <c r="Y16" s="1"/>
      <c r="Z16" s="1"/>
      <c r="AA16" s="1"/>
      <c r="AB16" s="1"/>
      <c r="AC16" s="1"/>
      <c r="AD16" s="1"/>
      <c r="AE16" s="1"/>
      <c r="AF16" s="1"/>
      <c r="AG16" s="1"/>
      <c r="AH16" s="1"/>
      <c r="AI16" s="1"/>
    </row>
    <row r="17" spans="1:35" ht="15.5" x14ac:dyDescent="0.35">
      <c r="A17" s="1"/>
      <c r="B17" s="1"/>
      <c r="C17" s="11" t="s">
        <v>6</v>
      </c>
      <c r="D17" s="13">
        <v>0.05</v>
      </c>
      <c r="E17" s="81" t="s">
        <v>20</v>
      </c>
      <c r="F17" s="82"/>
      <c r="G17" s="83"/>
      <c r="H17" s="1"/>
      <c r="I17" s="1"/>
      <c r="J17" s="1"/>
      <c r="K17" s="27">
        <v>5</v>
      </c>
      <c r="L17" s="30">
        <f t="shared" si="4"/>
        <v>47321</v>
      </c>
      <c r="M17" s="30">
        <f t="shared" si="0"/>
        <v>47230</v>
      </c>
      <c r="N17" s="86">
        <f t="shared" si="6"/>
        <v>63</v>
      </c>
      <c r="O17" s="86"/>
      <c r="P17" s="28">
        <f t="shared" si="1"/>
        <v>488.35497905427025</v>
      </c>
      <c r="Q17" s="28">
        <f t="shared" si="5"/>
        <v>1.2331702854685744</v>
      </c>
      <c r="R17" s="28">
        <f t="shared" si="2"/>
        <v>0.86260878438416411</v>
      </c>
      <c r="S17" s="29">
        <f t="shared" si="3"/>
        <v>1.0637435208867196</v>
      </c>
      <c r="T17" s="1"/>
      <c r="U17" s="1"/>
      <c r="V17" s="1"/>
      <c r="W17" s="1"/>
      <c r="X17" s="1"/>
      <c r="Y17" s="1"/>
      <c r="Z17" s="1"/>
      <c r="AA17" s="1"/>
      <c r="AB17" s="1"/>
      <c r="AC17" s="1"/>
      <c r="AD17" s="1"/>
      <c r="AE17" s="1"/>
      <c r="AF17" s="1"/>
      <c r="AG17" s="1"/>
      <c r="AH17" s="1"/>
      <c r="AI17" s="1"/>
    </row>
    <row r="18" spans="1:35" ht="15.5" x14ac:dyDescent="0.35">
      <c r="A18" s="1"/>
      <c r="B18" s="1"/>
      <c r="C18" s="11" t="s">
        <v>8</v>
      </c>
      <c r="D18" s="13">
        <v>0.03</v>
      </c>
      <c r="E18" s="81" t="s">
        <v>9</v>
      </c>
      <c r="F18" s="82"/>
      <c r="G18" s="83"/>
      <c r="H18" s="1"/>
      <c r="I18" s="1"/>
      <c r="J18" s="1"/>
      <c r="K18" s="27">
        <v>5.5</v>
      </c>
      <c r="L18" s="30">
        <f t="shared" si="4"/>
        <v>47505</v>
      </c>
      <c r="M18" s="30">
        <f t="shared" si="0"/>
        <v>47413</v>
      </c>
      <c r="N18" s="86">
        <f t="shared" si="6"/>
        <v>69</v>
      </c>
      <c r="O18" s="86"/>
      <c r="P18" s="28">
        <f t="shared" si="1"/>
        <v>500.4149426680338</v>
      </c>
      <c r="Q18" s="28">
        <f t="shared" si="5"/>
        <v>1.2636235201240824</v>
      </c>
      <c r="R18" s="28">
        <f t="shared" si="2"/>
        <v>0.84995369085542649</v>
      </c>
      <c r="S18" s="29">
        <f t="shared" si="3"/>
        <v>1.07402147478119</v>
      </c>
      <c r="T18" s="1"/>
      <c r="U18" s="1"/>
      <c r="V18" s="1"/>
      <c r="W18" s="1"/>
      <c r="X18" s="1"/>
      <c r="Y18" s="1"/>
      <c r="Z18" s="1"/>
      <c r="AA18" s="1"/>
      <c r="AB18" s="1"/>
      <c r="AC18" s="1"/>
      <c r="AD18" s="1"/>
      <c r="AE18" s="1"/>
      <c r="AF18" s="1"/>
      <c r="AG18" s="1"/>
      <c r="AH18" s="1"/>
      <c r="AI18" s="1"/>
    </row>
    <row r="19" spans="1:35" ht="15.5" x14ac:dyDescent="0.35">
      <c r="A19" s="1"/>
      <c r="B19" s="1"/>
      <c r="C19" s="11" t="s">
        <v>22</v>
      </c>
      <c r="D19" s="74">
        <v>0.96622118637600707</v>
      </c>
      <c r="E19" s="81" t="s">
        <v>82</v>
      </c>
      <c r="F19" s="82"/>
      <c r="G19" s="83"/>
      <c r="H19" s="1"/>
      <c r="I19" s="1"/>
      <c r="J19" s="1"/>
      <c r="K19" s="27">
        <v>6</v>
      </c>
      <c r="L19" s="30">
        <f t="shared" si="4"/>
        <v>47686</v>
      </c>
      <c r="M19" s="30">
        <f t="shared" si="0"/>
        <v>47595</v>
      </c>
      <c r="N19" s="86">
        <f t="shared" si="6"/>
        <v>75</v>
      </c>
      <c r="O19" s="86"/>
      <c r="P19" s="28">
        <f t="shared" si="1"/>
        <v>512.7727280069837</v>
      </c>
      <c r="Q19" s="28">
        <f t="shared" si="5"/>
        <v>1.2948287997420029</v>
      </c>
      <c r="R19" s="28">
        <f t="shared" si="2"/>
        <v>0.83748425668365445</v>
      </c>
      <c r="S19" s="29">
        <f t="shared" si="3"/>
        <v>1.0843987348845199</v>
      </c>
      <c r="T19" s="1"/>
      <c r="U19" s="1"/>
      <c r="V19" s="1"/>
      <c r="W19" s="1"/>
      <c r="X19" s="1"/>
      <c r="Y19" s="1"/>
      <c r="Z19" s="1"/>
      <c r="AA19" s="1"/>
      <c r="AB19" s="1"/>
      <c r="AC19" s="1"/>
      <c r="AD19" s="1"/>
      <c r="AE19" s="1"/>
      <c r="AF19" s="1"/>
      <c r="AG19" s="1"/>
      <c r="AH19" s="1"/>
      <c r="AI19" s="1"/>
    </row>
    <row r="20" spans="1:35" ht="15.5" x14ac:dyDescent="0.35">
      <c r="A20" s="1"/>
      <c r="B20" s="1"/>
      <c r="C20" s="11" t="s">
        <v>26</v>
      </c>
      <c r="D20" s="39">
        <f>$P$7</f>
        <v>382.63890461417685</v>
      </c>
      <c r="E20" s="81" t="s">
        <v>27</v>
      </c>
      <c r="F20" s="82"/>
      <c r="G20" s="83"/>
      <c r="H20" s="1"/>
      <c r="I20" s="1"/>
      <c r="J20" s="1"/>
      <c r="K20" s="27">
        <v>6.5</v>
      </c>
      <c r="L20" s="30">
        <f t="shared" si="4"/>
        <v>47870</v>
      </c>
      <c r="M20" s="30">
        <f t="shared" si="0"/>
        <v>47778</v>
      </c>
      <c r="N20" s="86">
        <f t="shared" si="6"/>
        <v>81</v>
      </c>
      <c r="O20" s="86"/>
      <c r="P20" s="28">
        <f t="shared" si="1"/>
        <v>525.4356898014355</v>
      </c>
      <c r="Q20" s="28">
        <f t="shared" si="5"/>
        <v>1.3268046961302866</v>
      </c>
      <c r="R20" s="28">
        <f t="shared" si="2"/>
        <v>0.82519775811206453</v>
      </c>
      <c r="S20" s="29">
        <f t="shared" si="3"/>
        <v>1.0948762606992715</v>
      </c>
      <c r="T20" s="1"/>
      <c r="U20" s="1"/>
      <c r="V20" s="1"/>
      <c r="W20" s="1"/>
      <c r="X20" s="1"/>
      <c r="Y20" s="1"/>
      <c r="Z20" s="1"/>
      <c r="AA20" s="1"/>
      <c r="AB20" s="1"/>
      <c r="AC20" s="1"/>
      <c r="AD20" s="1"/>
      <c r="AE20" s="1"/>
      <c r="AF20" s="1"/>
      <c r="AG20" s="1"/>
      <c r="AH20" s="1"/>
      <c r="AI20" s="1"/>
    </row>
    <row r="21" spans="1:35" ht="15.5" x14ac:dyDescent="0.35">
      <c r="A21" s="1"/>
      <c r="B21" s="1"/>
      <c r="C21" s="11" t="s">
        <v>90</v>
      </c>
      <c r="D21" s="13">
        <v>100</v>
      </c>
      <c r="E21" s="81" t="s">
        <v>91</v>
      </c>
      <c r="F21" s="82"/>
      <c r="G21" s="83"/>
      <c r="H21" s="1"/>
      <c r="I21" s="1"/>
      <c r="J21" s="1"/>
      <c r="K21" s="27">
        <v>7</v>
      </c>
      <c r="L21" s="30">
        <f t="shared" si="4"/>
        <v>48051</v>
      </c>
      <c r="M21" s="30">
        <f t="shared" si="0"/>
        <v>47960</v>
      </c>
      <c r="N21" s="86">
        <f t="shared" si="6"/>
        <v>87</v>
      </c>
      <c r="O21" s="86"/>
      <c r="P21" s="28">
        <f t="shared" si="1"/>
        <v>538.41136440733294</v>
      </c>
      <c r="Q21" s="28">
        <f t="shared" si="5"/>
        <v>1.3595702397291032</v>
      </c>
      <c r="R21" s="28">
        <f t="shared" si="2"/>
        <v>0.81309151134335378</v>
      </c>
      <c r="S21" s="29">
        <f t="shared" si="3"/>
        <v>1.1054550209987823</v>
      </c>
      <c r="T21" s="1"/>
      <c r="U21" s="1"/>
      <c r="V21" s="1"/>
      <c r="W21" s="1"/>
      <c r="X21" s="1"/>
      <c r="Y21" s="1"/>
      <c r="Z21" s="1"/>
      <c r="AA21" s="1"/>
      <c r="AB21" s="1"/>
      <c r="AC21" s="1"/>
      <c r="AD21" s="1"/>
      <c r="AE21" s="1"/>
      <c r="AF21" s="1"/>
      <c r="AG21" s="1"/>
      <c r="AH21" s="1"/>
      <c r="AI21" s="1"/>
    </row>
    <row r="22" spans="1:35" ht="15.5" x14ac:dyDescent="0.35">
      <c r="A22" s="1"/>
      <c r="B22" s="1"/>
      <c r="C22" s="14"/>
      <c r="D22" s="14"/>
      <c r="E22" s="15"/>
      <c r="F22" s="16"/>
      <c r="G22" s="16"/>
      <c r="H22" s="1"/>
      <c r="I22" s="1"/>
      <c r="J22" s="1"/>
      <c r="K22" s="27">
        <v>7.5</v>
      </c>
      <c r="L22" s="30">
        <f t="shared" si="4"/>
        <v>48235</v>
      </c>
      <c r="M22" s="30">
        <f t="shared" si="0"/>
        <v>48143</v>
      </c>
      <c r="N22" s="86">
        <f t="shared" si="6"/>
        <v>93</v>
      </c>
      <c r="O22" s="86"/>
      <c r="P22" s="28">
        <f t="shared" si="1"/>
        <v>551.70747429150731</v>
      </c>
      <c r="Q22" s="28">
        <f t="shared" si="5"/>
        <v>1.3931449309368009</v>
      </c>
      <c r="R22" s="28">
        <f t="shared" si="2"/>
        <v>0.80116287195346081</v>
      </c>
      <c r="S22" s="29">
        <f t="shared" si="3"/>
        <v>1.1161359939167332</v>
      </c>
      <c r="T22" s="1"/>
      <c r="U22" s="1"/>
      <c r="V22" s="1"/>
      <c r="W22" s="1"/>
      <c r="X22" s="1"/>
      <c r="Y22" s="1"/>
      <c r="Z22" s="1"/>
      <c r="AA22" s="1"/>
      <c r="AB22" s="1"/>
      <c r="AC22" s="1"/>
      <c r="AD22" s="1"/>
      <c r="AE22" s="1"/>
      <c r="AF22" s="1"/>
      <c r="AG22" s="1"/>
      <c r="AH22" s="1"/>
      <c r="AI22" s="1"/>
    </row>
    <row r="23" spans="1:35" ht="15.5" x14ac:dyDescent="0.35">
      <c r="A23" s="1"/>
      <c r="B23" s="1"/>
      <c r="C23" s="16"/>
      <c r="D23" s="16"/>
      <c r="E23" s="16"/>
      <c r="F23" s="16"/>
      <c r="G23" s="16"/>
      <c r="H23" s="1"/>
      <c r="I23" s="1"/>
      <c r="J23" s="1"/>
      <c r="K23" s="27">
        <v>8</v>
      </c>
      <c r="L23" s="30">
        <f t="shared" si="4"/>
        <v>48417</v>
      </c>
      <c r="M23" s="30">
        <f t="shared" si="0"/>
        <v>48326</v>
      </c>
      <c r="N23" s="86">
        <f t="shared" si="6"/>
        <v>99</v>
      </c>
      <c r="O23" s="86"/>
      <c r="P23" s="28">
        <f t="shared" si="1"/>
        <v>565.33193262769964</v>
      </c>
      <c r="Q23" s="28">
        <f t="shared" si="5"/>
        <v>1.4275487517155585</v>
      </c>
      <c r="R23" s="28">
        <f t="shared" si="2"/>
        <v>0.78940923431393573</v>
      </c>
      <c r="S23" s="29">
        <f t="shared" si="3"/>
        <v>1.1269201670375937</v>
      </c>
      <c r="T23" s="1"/>
      <c r="U23" s="1"/>
      <c r="V23" s="1"/>
      <c r="W23" s="1"/>
      <c r="X23" s="1"/>
      <c r="Y23" s="1"/>
      <c r="Z23" s="1"/>
      <c r="AA23" s="1"/>
      <c r="AB23" s="1"/>
      <c r="AC23" s="1"/>
      <c r="AD23" s="1"/>
      <c r="AE23" s="1"/>
      <c r="AF23" s="1"/>
      <c r="AG23" s="1"/>
      <c r="AH23" s="1"/>
      <c r="AI23" s="1"/>
    </row>
    <row r="24" spans="1:35" ht="15.5" x14ac:dyDescent="0.35">
      <c r="A24" s="1"/>
      <c r="B24" s="1"/>
      <c r="C24" s="98" t="s">
        <v>96</v>
      </c>
      <c r="D24" s="99"/>
      <c r="E24" s="103">
        <f>Q8</f>
        <v>0.9900820925822017</v>
      </c>
      <c r="F24" s="16"/>
      <c r="G24" s="16"/>
      <c r="H24" s="1"/>
      <c r="I24" s="1"/>
      <c r="J24" s="1"/>
      <c r="K24" s="27">
        <v>8.5</v>
      </c>
      <c r="L24" s="30">
        <f t="shared" si="4"/>
        <v>48601</v>
      </c>
      <c r="M24" s="30">
        <f t="shared" si="0"/>
        <v>48509</v>
      </c>
      <c r="N24" s="86">
        <f t="shared" si="6"/>
        <v>105</v>
      </c>
      <c r="O24" s="86"/>
      <c r="P24" s="28">
        <f t="shared" si="1"/>
        <v>579.29284800608264</v>
      </c>
      <c r="Q24" s="28">
        <f t="shared" si="5"/>
        <v>1.4628021774836408</v>
      </c>
      <c r="R24" s="28">
        <f t="shared" si="2"/>
        <v>0.77782803102277731</v>
      </c>
      <c r="S24" s="29">
        <f t="shared" si="3"/>
        <v>1.1378085374879316</v>
      </c>
      <c r="T24" s="1"/>
      <c r="U24" s="1"/>
      <c r="V24" s="1"/>
      <c r="W24" s="1"/>
      <c r="X24" s="1"/>
      <c r="Y24" s="1"/>
      <c r="Z24" s="1"/>
      <c r="AA24" s="1"/>
      <c r="AB24" s="1"/>
      <c r="AC24" s="1"/>
      <c r="AD24" s="1"/>
      <c r="AE24" s="1"/>
      <c r="AF24" s="1"/>
      <c r="AG24" s="1"/>
      <c r="AH24" s="1"/>
      <c r="AI24" s="1"/>
    </row>
    <row r="25" spans="1:35" ht="15.5" x14ac:dyDescent="0.35">
      <c r="A25" s="1"/>
      <c r="B25" s="1"/>
      <c r="C25" s="100"/>
      <c r="D25" s="101"/>
      <c r="E25" s="104"/>
      <c r="F25" s="16"/>
      <c r="G25" s="16"/>
      <c r="H25" s="1"/>
      <c r="I25" s="1"/>
      <c r="J25" s="1"/>
      <c r="K25" s="27">
        <v>9</v>
      </c>
      <c r="L25" s="30">
        <f t="shared" si="4"/>
        <v>48782</v>
      </c>
      <c r="M25" s="30">
        <f t="shared" si="0"/>
        <v>48691</v>
      </c>
      <c r="N25" s="86">
        <f t="shared" si="6"/>
        <v>111</v>
      </c>
      <c r="O25" s="86"/>
      <c r="P25" s="28">
        <f t="shared" si="1"/>
        <v>593.59852925908456</v>
      </c>
      <c r="Q25" s="28">
        <f t="shared" si="5"/>
        <v>1.4989261893013364</v>
      </c>
      <c r="R25" s="28">
        <f t="shared" si="2"/>
        <v>0.76641673234362695</v>
      </c>
      <c r="S25" s="29">
        <f t="shared" si="3"/>
        <v>1.1488021120286149</v>
      </c>
      <c r="T25" s="1"/>
      <c r="U25" s="1"/>
      <c r="V25" s="1"/>
      <c r="W25" s="1"/>
      <c r="X25" s="1"/>
      <c r="Y25" s="1"/>
      <c r="Z25" s="1"/>
      <c r="AA25" s="1"/>
      <c r="AB25" s="1"/>
      <c r="AC25" s="1"/>
      <c r="AD25" s="1"/>
      <c r="AE25" s="1"/>
      <c r="AF25" s="1"/>
      <c r="AG25" s="1"/>
      <c r="AH25" s="1"/>
      <c r="AI25" s="1"/>
    </row>
    <row r="26" spans="1:35" ht="15.5" x14ac:dyDescent="0.35">
      <c r="A26" s="1"/>
      <c r="B26" s="1"/>
      <c r="C26" s="16"/>
      <c r="D26" s="16"/>
      <c r="E26" s="16"/>
      <c r="F26" s="16"/>
      <c r="G26" s="16"/>
      <c r="H26" s="1"/>
      <c r="I26" s="1"/>
      <c r="J26" s="1"/>
      <c r="K26" s="27">
        <v>9.5</v>
      </c>
      <c r="L26" s="30">
        <f t="shared" si="4"/>
        <v>48966</v>
      </c>
      <c r="M26" s="30">
        <f t="shared" si="0"/>
        <v>48874</v>
      </c>
      <c r="N26" s="86">
        <f t="shared" si="6"/>
        <v>117</v>
      </c>
      <c r="O26" s="86"/>
      <c r="P26" s="28">
        <f t="shared" si="1"/>
        <v>608.25749040638675</v>
      </c>
      <c r="Q26" s="28">
        <f t="shared" si="5"/>
        <v>1.5359422863578229</v>
      </c>
      <c r="R26" s="28">
        <f t="shared" si="2"/>
        <v>0.75517284565318188</v>
      </c>
      <c r="S26" s="29">
        <f t="shared" si="3"/>
        <v>1.1599019071478915</v>
      </c>
      <c r="T26" s="1"/>
      <c r="U26" s="1"/>
      <c r="V26" s="1"/>
      <c r="W26" s="1"/>
      <c r="X26" s="1"/>
      <c r="Y26" s="1"/>
      <c r="Z26" s="1"/>
      <c r="AA26" s="1"/>
      <c r="AB26" s="1"/>
      <c r="AC26" s="1"/>
      <c r="AD26" s="1"/>
      <c r="AE26" s="1"/>
      <c r="AF26" s="1"/>
      <c r="AG26" s="1"/>
      <c r="AH26" s="1"/>
      <c r="AI26" s="1"/>
    </row>
    <row r="27" spans="1:35" ht="15.5" x14ac:dyDescent="0.35">
      <c r="A27" s="1"/>
      <c r="B27" s="1"/>
      <c r="C27" s="71"/>
      <c r="D27" s="72"/>
      <c r="E27" s="16"/>
      <c r="F27" s="16"/>
      <c r="G27" s="16"/>
      <c r="H27" s="1"/>
      <c r="I27" s="1"/>
      <c r="J27" s="1"/>
      <c r="K27" s="27">
        <v>10</v>
      </c>
      <c r="L27" s="30">
        <f t="shared" si="4"/>
        <v>49147</v>
      </c>
      <c r="M27" s="30">
        <f t="shared" si="0"/>
        <v>49056</v>
      </c>
      <c r="N27" s="86">
        <f t="shared" si="6"/>
        <v>123</v>
      </c>
      <c r="O27" s="86"/>
      <c r="P27" s="28">
        <f t="shared" si="1"/>
        <v>623.27845572203887</v>
      </c>
      <c r="Q27" s="28">
        <f t="shared" si="5"/>
        <v>1.5738724987664034</v>
      </c>
      <c r="R27" s="28">
        <f t="shared" si="2"/>
        <v>0.74409391489672516</v>
      </c>
      <c r="S27" s="29">
        <f t="shared" si="3"/>
        <v>1.1711089491553843</v>
      </c>
      <c r="T27" s="1"/>
      <c r="U27" s="1"/>
      <c r="V27" s="1"/>
      <c r="W27" s="1"/>
      <c r="X27" s="1"/>
      <c r="Y27" s="1"/>
      <c r="Z27" s="1"/>
      <c r="AA27" s="1"/>
      <c r="AB27" s="1"/>
      <c r="AC27" s="1"/>
      <c r="AD27" s="1"/>
      <c r="AE27" s="1"/>
      <c r="AF27" s="1"/>
      <c r="AG27" s="1"/>
      <c r="AH27" s="1"/>
      <c r="AI27" s="1"/>
    </row>
    <row r="28" spans="1:35" ht="15.5" x14ac:dyDescent="0.35">
      <c r="A28" s="1"/>
      <c r="B28" s="1"/>
      <c r="C28" s="1"/>
      <c r="D28" s="1"/>
      <c r="E28" s="1"/>
      <c r="F28" s="1"/>
      <c r="G28" s="1"/>
      <c r="H28" s="1"/>
      <c r="I28" s="1"/>
      <c r="J28" s="1"/>
      <c r="K28" s="27">
        <v>10.5</v>
      </c>
      <c r="L28" s="30">
        <f t="shared" si="4"/>
        <v>49331</v>
      </c>
      <c r="M28" s="30">
        <f t="shared" si="0"/>
        <v>49239</v>
      </c>
      <c r="N28" s="86">
        <f t="shared" si="6"/>
        <v>129</v>
      </c>
      <c r="O28" s="86"/>
      <c r="P28" s="28">
        <f t="shared" si="1"/>
        <v>638.67036492670616</v>
      </c>
      <c r="Q28" s="28">
        <f t="shared" si="5"/>
        <v>1.6127394006757143</v>
      </c>
      <c r="R28" s="28">
        <f t="shared" si="2"/>
        <v>0.73317752005163295</v>
      </c>
      <c r="S28" s="29">
        <f t="shared" si="3"/>
        <v>1.182424274276977</v>
      </c>
      <c r="T28" s="1"/>
      <c r="U28" s="1"/>
      <c r="V28" s="1"/>
      <c r="W28" s="1"/>
      <c r="X28" s="1"/>
      <c r="Y28" s="1"/>
      <c r="Z28" s="1"/>
      <c r="AA28" s="1"/>
      <c r="AB28" s="1"/>
      <c r="AC28" s="1"/>
      <c r="AD28" s="1"/>
      <c r="AE28" s="1"/>
      <c r="AF28" s="1"/>
      <c r="AG28" s="1"/>
      <c r="AH28" s="1"/>
      <c r="AI28" s="1"/>
    </row>
    <row r="29" spans="1:35" ht="15.5" x14ac:dyDescent="0.35">
      <c r="A29" s="1"/>
      <c r="B29" s="1"/>
      <c r="C29" s="1"/>
      <c r="D29" s="1"/>
      <c r="E29" s="1"/>
      <c r="F29" s="1"/>
      <c r="G29" s="1"/>
      <c r="H29" s="1"/>
      <c r="I29" s="1"/>
      <c r="J29" s="1"/>
      <c r="K29" s="27">
        <v>11</v>
      </c>
      <c r="L29" s="30">
        <f t="shared" si="4"/>
        <v>49512</v>
      </c>
      <c r="M29" s="30">
        <f t="shared" si="0"/>
        <v>49421</v>
      </c>
      <c r="N29" s="86">
        <f t="shared" si="6"/>
        <v>135</v>
      </c>
      <c r="O29" s="86"/>
      <c r="P29" s="28">
        <f t="shared" si="1"/>
        <v>654.44237850814091</v>
      </c>
      <c r="Q29" s="28">
        <f t="shared" si="5"/>
        <v>1.6525661237047238</v>
      </c>
      <c r="R29" s="28">
        <f t="shared" si="2"/>
        <v>0.72242127659876232</v>
      </c>
      <c r="S29" s="29">
        <f t="shared" si="3"/>
        <v>1.1938489287506346</v>
      </c>
      <c r="T29" s="1"/>
      <c r="U29" s="1"/>
      <c r="V29" s="1"/>
      <c r="W29" s="1"/>
      <c r="X29" s="1"/>
      <c r="Y29" s="1"/>
      <c r="Z29" s="1"/>
      <c r="AA29" s="1"/>
      <c r="AB29" s="1"/>
      <c r="AC29" s="1"/>
      <c r="AD29" s="1"/>
      <c r="AE29" s="1"/>
      <c r="AF29" s="1"/>
      <c r="AG29" s="1"/>
      <c r="AH29" s="1"/>
      <c r="AI29" s="1"/>
    </row>
    <row r="30" spans="1:35" ht="15.5" x14ac:dyDescent="0.35">
      <c r="A30" s="1"/>
      <c r="B30" s="1"/>
      <c r="C30" s="1"/>
      <c r="D30" s="1"/>
      <c r="E30" s="1"/>
      <c r="F30" s="1"/>
      <c r="G30" s="1"/>
      <c r="H30" s="1"/>
      <c r="I30" s="1"/>
      <c r="J30" s="1"/>
      <c r="K30" s="27">
        <v>11.5</v>
      </c>
      <c r="L30" s="30">
        <f t="shared" si="4"/>
        <v>49696</v>
      </c>
      <c r="M30" s="30">
        <f t="shared" si="0"/>
        <v>49604</v>
      </c>
      <c r="N30" s="86">
        <f t="shared" si="6"/>
        <v>141</v>
      </c>
      <c r="O30" s="86"/>
      <c r="P30" s="28">
        <f t="shared" si="1"/>
        <v>670.6038831730416</v>
      </c>
      <c r="Q30" s="28">
        <f t="shared" si="5"/>
        <v>1.6933763707095004</v>
      </c>
      <c r="R30" s="28">
        <f t="shared" si="2"/>
        <v>0.71182283500158527</v>
      </c>
      <c r="S30" s="29">
        <f t="shared" si="3"/>
        <v>1.205383968923132</v>
      </c>
      <c r="T30" s="1"/>
      <c r="U30" s="1"/>
      <c r="V30" s="1"/>
      <c r="W30" s="1"/>
      <c r="X30" s="1"/>
      <c r="Y30" s="1"/>
      <c r="Z30" s="1"/>
      <c r="AA30" s="1"/>
      <c r="AB30" s="1"/>
      <c r="AC30" s="1"/>
      <c r="AD30" s="1"/>
      <c r="AE30" s="1"/>
      <c r="AF30" s="1"/>
      <c r="AG30" s="1"/>
      <c r="AH30" s="1"/>
      <c r="AI30" s="1"/>
    </row>
    <row r="31" spans="1:35" ht="15.5" x14ac:dyDescent="0.35">
      <c r="A31" s="1"/>
      <c r="B31" s="1"/>
      <c r="C31" s="1"/>
      <c r="D31" s="1"/>
      <c r="E31" s="1"/>
      <c r="F31" s="1"/>
      <c r="G31" s="1"/>
      <c r="H31" s="1"/>
      <c r="I31" s="1"/>
      <c r="J31" s="1"/>
      <c r="K31" s="27">
        <v>12</v>
      </c>
      <c r="L31" s="30">
        <f t="shared" si="4"/>
        <v>49878</v>
      </c>
      <c r="M31" s="30">
        <f t="shared" si="0"/>
        <v>49787</v>
      </c>
      <c r="N31" s="86">
        <f t="shared" si="6"/>
        <v>147</v>
      </c>
      <c r="O31" s="86"/>
      <c r="P31" s="28">
        <f t="shared" si="1"/>
        <v>687.16449743354792</v>
      </c>
      <c r="Q31" s="28">
        <f t="shared" si="5"/>
        <v>1.73519442988996</v>
      </c>
      <c r="R31" s="28">
        <f t="shared" si="2"/>
        <v>0.70137988019297326</v>
      </c>
      <c r="S31" s="29">
        <f t="shared" si="3"/>
        <v>1.2170304613477347</v>
      </c>
      <c r="T31" s="1"/>
      <c r="U31" s="1"/>
      <c r="V31" s="1"/>
      <c r="W31" s="1"/>
      <c r="X31" s="1"/>
      <c r="Y31" s="1"/>
      <c r="Z31" s="1"/>
      <c r="AA31" s="1"/>
      <c r="AB31" s="1"/>
      <c r="AC31" s="1"/>
      <c r="AD31" s="1"/>
      <c r="AE31" s="1"/>
      <c r="AF31" s="1"/>
      <c r="AG31" s="1"/>
      <c r="AH31" s="1"/>
      <c r="AI31" s="1"/>
    </row>
    <row r="32" spans="1:35" ht="15.5" x14ac:dyDescent="0.35">
      <c r="A32" s="1"/>
      <c r="B32" s="1"/>
      <c r="C32" s="1"/>
      <c r="D32" s="1"/>
      <c r="E32" s="1"/>
      <c r="F32" s="1"/>
      <c r="G32" s="1"/>
      <c r="H32" s="1"/>
      <c r="I32" s="1"/>
      <c r="J32" s="1"/>
      <c r="K32" s="27">
        <v>12.5</v>
      </c>
      <c r="L32" s="30">
        <f t="shared" si="4"/>
        <v>50062</v>
      </c>
      <c r="M32" s="30">
        <f t="shared" si="0"/>
        <v>49970</v>
      </c>
      <c r="N32" s="86">
        <f t="shared" si="6"/>
        <v>153</v>
      </c>
      <c r="O32" s="86"/>
      <c r="P32" s="28">
        <f t="shared" si="1"/>
        <v>704.13407733169367</v>
      </c>
      <c r="Q32" s="28">
        <f t="shared" si="5"/>
        <v>1.7780451892449753</v>
      </c>
      <c r="R32" s="28">
        <f t="shared" si="2"/>
        <v>0.69109013106950024</v>
      </c>
      <c r="S32" s="29">
        <f t="shared" si="3"/>
        <v>1.2287894828828043</v>
      </c>
      <c r="T32" s="1"/>
      <c r="U32" s="1"/>
      <c r="V32" s="1"/>
      <c r="W32" s="1"/>
      <c r="X32" s="1"/>
      <c r="Y32" s="1"/>
      <c r="Z32" s="1"/>
      <c r="AA32" s="1"/>
      <c r="AB32" s="1"/>
      <c r="AC32" s="1"/>
      <c r="AD32" s="1"/>
      <c r="AE32" s="1"/>
      <c r="AF32" s="1"/>
      <c r="AG32" s="1"/>
      <c r="AH32" s="1"/>
      <c r="AI32" s="1"/>
    </row>
    <row r="33" spans="1:35" ht="15.5" x14ac:dyDescent="0.35">
      <c r="A33" s="1"/>
      <c r="B33" s="1"/>
      <c r="C33" s="1"/>
      <c r="D33" s="1"/>
      <c r="E33" s="1"/>
      <c r="F33" s="1"/>
      <c r="G33" s="1"/>
      <c r="H33" s="1"/>
      <c r="I33" s="1"/>
      <c r="J33" s="1"/>
      <c r="K33" s="27">
        <v>13</v>
      </c>
      <c r="L33" s="30">
        <f t="shared" si="4"/>
        <v>50243</v>
      </c>
      <c r="M33" s="30">
        <f t="shared" si="0"/>
        <v>50152</v>
      </c>
      <c r="N33" s="86">
        <f t="shared" si="6"/>
        <v>159</v>
      </c>
      <c r="O33" s="86"/>
      <c r="P33" s="28">
        <f t="shared" si="1"/>
        <v>721.52272230522533</v>
      </c>
      <c r="Q33" s="28">
        <f t="shared" si="5"/>
        <v>1.8219541513844579</v>
      </c>
      <c r="R33" s="28">
        <f t="shared" si="2"/>
        <v>0.68095133999317792</v>
      </c>
      <c r="S33" s="29">
        <f t="shared" si="3"/>
        <v>1.2406621207913799</v>
      </c>
      <c r="T33" s="1"/>
      <c r="U33" s="1"/>
      <c r="V33" s="1"/>
      <c r="W33" s="1"/>
      <c r="X33" s="1"/>
      <c r="Y33" s="1"/>
      <c r="Z33" s="1"/>
      <c r="AA33" s="1"/>
      <c r="AB33" s="1"/>
      <c r="AC33" s="1"/>
      <c r="AD33" s="1"/>
      <c r="AE33" s="1"/>
      <c r="AF33" s="1"/>
      <c r="AG33" s="1"/>
      <c r="AH33" s="1"/>
      <c r="AI33" s="1"/>
    </row>
    <row r="34" spans="1:35" ht="15.5" x14ac:dyDescent="0.35">
      <c r="A34" s="1"/>
      <c r="B34" s="1"/>
      <c r="C34" s="1"/>
      <c r="D34" s="1"/>
      <c r="E34" s="1"/>
      <c r="F34" s="1"/>
      <c r="G34" s="1"/>
      <c r="H34" s="1"/>
      <c r="I34" s="1"/>
      <c r="J34" s="1"/>
      <c r="K34" s="27">
        <v>13.5</v>
      </c>
      <c r="L34" s="30">
        <f t="shared" si="4"/>
        <v>50427</v>
      </c>
      <c r="M34" s="30">
        <f t="shared" si="0"/>
        <v>50335</v>
      </c>
      <c r="N34" s="86">
        <f t="shared" si="6"/>
        <v>165</v>
      </c>
      <c r="O34" s="86"/>
      <c r="P34" s="28">
        <f t="shared" si="1"/>
        <v>739.34078119827836</v>
      </c>
      <c r="Q34" s="28">
        <f t="shared" si="5"/>
        <v>1.8669474487072242</v>
      </c>
      <c r="R34" s="28">
        <f t="shared" si="2"/>
        <v>0.67096129230048573</v>
      </c>
      <c r="S34" s="29">
        <f t="shared" si="3"/>
        <v>1.2526494728416939</v>
      </c>
      <c r="T34" s="1"/>
      <c r="U34" s="1"/>
      <c r="V34" s="1"/>
      <c r="W34" s="1"/>
      <c r="X34" s="1"/>
      <c r="Y34" s="1"/>
      <c r="Z34" s="1"/>
      <c r="AA34" s="1"/>
      <c r="AB34" s="1"/>
      <c r="AC34" s="1"/>
      <c r="AD34" s="1"/>
      <c r="AE34" s="1"/>
      <c r="AF34" s="1"/>
      <c r="AG34" s="1"/>
      <c r="AH34" s="1"/>
      <c r="AI34" s="1"/>
    </row>
    <row r="35" spans="1:35" ht="15.5" x14ac:dyDescent="0.35">
      <c r="A35" s="1"/>
      <c r="B35" s="1"/>
      <c r="C35" s="1"/>
      <c r="D35" s="1"/>
      <c r="E35" s="1"/>
      <c r="F35" s="1"/>
      <c r="G35" s="1"/>
      <c r="H35" s="1"/>
      <c r="I35" s="1"/>
      <c r="J35" s="1"/>
      <c r="K35" s="27">
        <v>14</v>
      </c>
      <c r="L35" s="30">
        <f t="shared" si="4"/>
        <v>50608</v>
      </c>
      <c r="M35" s="30">
        <f t="shared" si="0"/>
        <v>50517</v>
      </c>
      <c r="N35" s="86">
        <f t="shared" si="6"/>
        <v>171</v>
      </c>
      <c r="O35" s="86"/>
      <c r="P35" s="28">
        <f t="shared" si="1"/>
        <v>757.59885842048675</v>
      </c>
      <c r="Q35" s="28">
        <f t="shared" si="5"/>
        <v>1.9130518589536814</v>
      </c>
      <c r="R35" s="28">
        <f t="shared" si="2"/>
        <v>0.66111780581861923</v>
      </c>
      <c r="S35" s="29">
        <f t="shared" si="3"/>
        <v>1.2647526474086885</v>
      </c>
      <c r="T35" s="1"/>
      <c r="U35" s="1"/>
      <c r="V35" s="1"/>
      <c r="W35" s="1"/>
      <c r="X35" s="1"/>
      <c r="Y35" s="1"/>
      <c r="Z35" s="1"/>
      <c r="AA35" s="1"/>
      <c r="AB35" s="1"/>
      <c r="AC35" s="1"/>
      <c r="AD35" s="1"/>
      <c r="AE35" s="1"/>
      <c r="AF35" s="1"/>
      <c r="AG35" s="1"/>
      <c r="AH35" s="1"/>
      <c r="AI35" s="1"/>
    </row>
    <row r="36" spans="1:35" ht="15.5" x14ac:dyDescent="0.35">
      <c r="A36" s="1"/>
      <c r="B36" s="1"/>
      <c r="C36" s="1"/>
      <c r="D36" s="1"/>
      <c r="E36" s="1"/>
      <c r="F36" s="1"/>
      <c r="G36" s="1"/>
      <c r="H36" s="1"/>
      <c r="I36" s="1"/>
      <c r="J36" s="1"/>
      <c r="K36" s="27">
        <v>14.5</v>
      </c>
      <c r="L36" s="30">
        <f t="shared" si="4"/>
        <v>50792</v>
      </c>
      <c r="M36" s="30">
        <f t="shared" si="0"/>
        <v>50700</v>
      </c>
      <c r="N36" s="86">
        <f t="shared" si="6"/>
        <v>177</v>
      </c>
      <c r="O36" s="86"/>
      <c r="P36" s="28">
        <f t="shared" si="1"/>
        <v>776.30782025819235</v>
      </c>
      <c r="Q36" s="28">
        <f t="shared" si="5"/>
        <v>1.9602948211425857</v>
      </c>
      <c r="R36" s="28">
        <f t="shared" si="2"/>
        <v>0.65141873038882114</v>
      </c>
      <c r="S36" s="29">
        <f t="shared" si="3"/>
        <v>1.2769727635764845</v>
      </c>
      <c r="T36" s="1"/>
      <c r="U36" s="1"/>
      <c r="V36" s="1"/>
      <c r="W36" s="1"/>
      <c r="X36" s="1"/>
      <c r="Y36" s="1"/>
      <c r="Z36" s="1"/>
      <c r="AA36" s="1"/>
      <c r="AB36" s="1"/>
      <c r="AC36" s="1"/>
      <c r="AD36" s="1"/>
      <c r="AE36" s="1"/>
      <c r="AF36" s="1"/>
      <c r="AG36" s="1"/>
      <c r="AH36" s="1"/>
      <c r="AI36" s="1"/>
    </row>
    <row r="37" spans="1:35" ht="15.5" x14ac:dyDescent="0.35">
      <c r="A37" s="1"/>
      <c r="B37" s="1"/>
      <c r="C37" s="1"/>
      <c r="D37" s="1"/>
      <c r="E37" s="1"/>
      <c r="F37" s="1"/>
      <c r="G37" s="1"/>
      <c r="H37" s="1"/>
      <c r="I37" s="1"/>
      <c r="J37" s="1"/>
      <c r="K37" s="27">
        <v>15</v>
      </c>
      <c r="L37" s="30">
        <f t="shared" si="4"/>
        <v>50973</v>
      </c>
      <c r="M37" s="30">
        <f t="shared" si="0"/>
        <v>50882</v>
      </c>
      <c r="N37" s="86">
        <f t="shared" si="6"/>
        <v>183</v>
      </c>
      <c r="O37" s="86"/>
      <c r="P37" s="28">
        <f t="shared" si="1"/>
        <v>795.47880134151103</v>
      </c>
      <c r="Q37" s="28">
        <f t="shared" si="5"/>
        <v>2.008704451901365</v>
      </c>
      <c r="R37" s="28">
        <f t="shared" si="2"/>
        <v>0.64186194739671765</v>
      </c>
      <c r="S37" s="29">
        <f t="shared" si="3"/>
        <v>1.2893109512418666</v>
      </c>
      <c r="T37" s="1"/>
      <c r="U37" s="1"/>
      <c r="V37" s="1"/>
      <c r="W37" s="1"/>
      <c r="X37" s="1"/>
      <c r="Y37" s="1"/>
      <c r="Z37" s="1"/>
      <c r="AA37" s="1"/>
      <c r="AB37" s="1"/>
      <c r="AC37" s="1"/>
      <c r="AD37" s="1"/>
      <c r="AE37" s="1"/>
      <c r="AF37" s="1"/>
      <c r="AG37" s="1"/>
      <c r="AH37" s="1"/>
      <c r="AI37" s="1"/>
    </row>
    <row r="38" spans="1:35" ht="15.5" x14ac:dyDescent="0.35">
      <c r="A38" s="1"/>
      <c r="B38" s="1"/>
      <c r="C38" s="1"/>
      <c r="D38" s="1"/>
      <c r="E38" s="1"/>
      <c r="F38" s="1"/>
      <c r="G38" s="1"/>
      <c r="H38" s="1"/>
      <c r="I38" s="1"/>
      <c r="J38" s="1"/>
      <c r="K38" s="27">
        <v>15.5</v>
      </c>
      <c r="L38" s="30">
        <f t="shared" si="4"/>
        <v>51157</v>
      </c>
      <c r="M38" s="30">
        <f t="shared" si="0"/>
        <v>51065</v>
      </c>
      <c r="N38" s="86">
        <f t="shared" si="6"/>
        <v>189</v>
      </c>
      <c r="O38" s="86"/>
      <c r="P38" s="28">
        <f t="shared" si="1"/>
        <v>815.12321127110204</v>
      </c>
      <c r="Q38" s="28">
        <f t="shared" si="5"/>
        <v>2.0583095621997147</v>
      </c>
      <c r="R38" s="28">
        <f t="shared" si="2"/>
        <v>0.63244536930953499</v>
      </c>
      <c r="S38" s="29">
        <f t="shared" si="3"/>
        <v>1.3017683512187459</v>
      </c>
      <c r="T38" s="1"/>
      <c r="U38" s="1"/>
      <c r="V38" s="1"/>
      <c r="W38" s="1"/>
      <c r="X38" s="1"/>
      <c r="Y38" s="1"/>
      <c r="Z38" s="1"/>
      <c r="AA38" s="1"/>
      <c r="AB38" s="1"/>
      <c r="AC38" s="1"/>
      <c r="AD38" s="1"/>
      <c r="AE38" s="1"/>
      <c r="AF38" s="1"/>
      <c r="AG38" s="1"/>
      <c r="AH38" s="1"/>
      <c r="AI38" s="1"/>
    </row>
    <row r="39" spans="1:35" ht="15.5" x14ac:dyDescent="0.35">
      <c r="A39" s="1"/>
      <c r="B39" s="1"/>
      <c r="C39" s="1"/>
      <c r="D39" s="1"/>
      <c r="E39" s="1"/>
      <c r="F39" s="1"/>
      <c r="G39" s="1"/>
      <c r="H39" s="1"/>
      <c r="I39" s="1"/>
      <c r="J39" s="1"/>
      <c r="K39" s="27">
        <v>16</v>
      </c>
      <c r="L39" s="30">
        <f t="shared" si="4"/>
        <v>51339</v>
      </c>
      <c r="M39" s="30">
        <f t="shared" si="0"/>
        <v>51248</v>
      </c>
      <c r="N39" s="86">
        <f t="shared" si="6"/>
        <v>195</v>
      </c>
      <c r="O39" s="86"/>
      <c r="P39" s="28">
        <f t="shared" si="1"/>
        <v>835.25274140858664</v>
      </c>
      <c r="Q39" s="28">
        <f t="shared" si="5"/>
        <v>2.1091396744964337</v>
      </c>
      <c r="R39" s="28">
        <f t="shared" si="2"/>
        <v>0.62316693922011435</v>
      </c>
      <c r="S39" s="29">
        <f t="shared" si="3"/>
        <v>1.3143461153436509</v>
      </c>
      <c r="T39" s="1"/>
      <c r="U39" s="1"/>
      <c r="V39" s="1"/>
      <c r="W39" s="1"/>
      <c r="X39" s="1"/>
      <c r="Y39" s="1"/>
      <c r="Z39" s="1"/>
      <c r="AA39" s="1"/>
      <c r="AB39" s="1"/>
      <c r="AC39" s="1"/>
      <c r="AD39" s="1"/>
      <c r="AE39" s="1"/>
      <c r="AF39" s="1"/>
      <c r="AG39" s="1"/>
      <c r="AH39" s="1"/>
      <c r="AI39" s="1"/>
    </row>
    <row r="40" spans="1:35" ht="15.5" x14ac:dyDescent="0.35">
      <c r="A40" s="1"/>
      <c r="B40" s="1"/>
      <c r="C40" s="1"/>
      <c r="D40" s="1"/>
      <c r="E40" s="1"/>
      <c r="F40" s="1"/>
      <c r="G40" s="1"/>
      <c r="H40" s="1"/>
      <c r="I40" s="1"/>
      <c r="J40" s="1"/>
      <c r="K40" s="27">
        <v>16.5</v>
      </c>
      <c r="L40" s="30">
        <f t="shared" si="4"/>
        <v>51523</v>
      </c>
      <c r="M40" s="30">
        <f t="shared" si="0"/>
        <v>51431</v>
      </c>
      <c r="N40" s="86">
        <f t="shared" si="6"/>
        <v>201</v>
      </c>
      <c r="O40" s="86"/>
      <c r="P40" s="28">
        <f t="shared" si="1"/>
        <v>855.87937183465704</v>
      </c>
      <c r="Q40" s="28">
        <f t="shared" si="5"/>
        <v>2.1612250403097004</v>
      </c>
      <c r="R40" s="28">
        <f t="shared" si="2"/>
        <v>0.6140246303976068</v>
      </c>
      <c r="S40" s="29">
        <f t="shared" si="3"/>
        <v>1.3270454065822166</v>
      </c>
      <c r="T40" s="1"/>
      <c r="U40" s="1"/>
      <c r="V40" s="1"/>
      <c r="W40" s="1"/>
      <c r="X40" s="1"/>
      <c r="Y40" s="1"/>
      <c r="Z40" s="1"/>
      <c r="AA40" s="1"/>
      <c r="AB40" s="1"/>
      <c r="AC40" s="1"/>
      <c r="AD40" s="1"/>
      <c r="AE40" s="1"/>
      <c r="AF40" s="1"/>
      <c r="AG40" s="1"/>
      <c r="AH40" s="1"/>
      <c r="AI40" s="1"/>
    </row>
    <row r="41" spans="1:35" ht="15.5" x14ac:dyDescent="0.35">
      <c r="A41" s="1"/>
      <c r="B41" s="1"/>
      <c r="C41" s="1"/>
      <c r="D41" s="1"/>
      <c r="E41" s="1"/>
      <c r="F41" s="1"/>
      <c r="G41" s="1"/>
      <c r="H41" s="1"/>
      <c r="I41" s="1"/>
      <c r="J41" s="1"/>
      <c r="K41" s="27">
        <v>17</v>
      </c>
      <c r="L41" s="30">
        <f t="shared" si="4"/>
        <v>51704</v>
      </c>
      <c r="M41" s="30">
        <f t="shared" si="0"/>
        <v>51613</v>
      </c>
      <c r="N41" s="86">
        <f t="shared" si="6"/>
        <v>207</v>
      </c>
      <c r="O41" s="86"/>
      <c r="P41" s="28">
        <f t="shared" si="1"/>
        <v>877.01537847901602</v>
      </c>
      <c r="Q41" s="28">
        <f t="shared" si="5"/>
        <v>2.2145966582212555</v>
      </c>
      <c r="R41" s="28">
        <f t="shared" si="2"/>
        <v>0.60501644584477121</v>
      </c>
      <c r="S41" s="29">
        <f t="shared" si="3"/>
        <v>1.3398673991367316</v>
      </c>
      <c r="T41" s="1"/>
      <c r="U41" s="1"/>
      <c r="V41" s="1"/>
      <c r="W41" s="1"/>
      <c r="X41" s="1"/>
      <c r="Y41" s="1"/>
      <c r="Z41" s="1"/>
      <c r="AA41" s="1"/>
      <c r="AB41" s="1"/>
      <c r="AC41" s="1"/>
      <c r="AD41" s="1"/>
      <c r="AE41" s="1"/>
      <c r="AF41" s="1"/>
      <c r="AG41" s="1"/>
      <c r="AH41" s="1"/>
      <c r="AI41" s="1"/>
    </row>
    <row r="42" spans="1:35" ht="15.5" x14ac:dyDescent="0.35">
      <c r="A42" s="1"/>
      <c r="B42" s="1"/>
      <c r="C42" s="1"/>
      <c r="D42" s="1"/>
      <c r="E42" s="1"/>
      <c r="F42" s="1"/>
      <c r="G42" s="1"/>
      <c r="H42" s="1"/>
      <c r="I42" s="1"/>
      <c r="J42" s="1"/>
      <c r="K42" s="27">
        <v>17.5</v>
      </c>
      <c r="L42" s="30">
        <f t="shared" si="4"/>
        <v>51888</v>
      </c>
      <c r="M42" s="30">
        <f t="shared" si="0"/>
        <v>51796</v>
      </c>
      <c r="N42" s="86">
        <f t="shared" si="6"/>
        <v>213</v>
      </c>
      <c r="O42" s="86"/>
      <c r="P42" s="28">
        <f t="shared" si="1"/>
        <v>898.67334042638993</v>
      </c>
      <c r="Q42" s="28">
        <f t="shared" si="5"/>
        <v>2.2692862923251855</v>
      </c>
      <c r="R42" s="28">
        <f t="shared" si="2"/>
        <v>0.59614041786175409</v>
      </c>
      <c r="S42" s="29">
        <f t="shared" si="3"/>
        <v>1.3528132785546867</v>
      </c>
      <c r="T42" s="1"/>
      <c r="U42" s="1"/>
      <c r="V42" s="1"/>
      <c r="W42" s="1"/>
      <c r="X42" s="1"/>
      <c r="Y42" s="1"/>
      <c r="Z42" s="1"/>
      <c r="AA42" s="1"/>
      <c r="AB42" s="1"/>
      <c r="AC42" s="1"/>
      <c r="AD42" s="1"/>
      <c r="AE42" s="1"/>
      <c r="AF42" s="1"/>
      <c r="AG42" s="1"/>
      <c r="AH42" s="1"/>
      <c r="AI42" s="1"/>
    </row>
    <row r="43" spans="1:35" ht="15.5" x14ac:dyDescent="0.35">
      <c r="A43" s="1"/>
      <c r="B43" s="1"/>
      <c r="C43" s="1"/>
      <c r="D43" s="1"/>
      <c r="E43" s="1"/>
      <c r="F43" s="1"/>
      <c r="G43" s="1"/>
      <c r="H43" s="1"/>
      <c r="I43" s="1"/>
      <c r="J43" s="1"/>
      <c r="K43" s="27">
        <v>18</v>
      </c>
      <c r="L43" s="30">
        <f t="shared" si="4"/>
        <v>52069</v>
      </c>
      <c r="M43" s="30">
        <f t="shared" si="0"/>
        <v>51978</v>
      </c>
      <c r="N43" s="86">
        <f t="shared" si="6"/>
        <v>219</v>
      </c>
      <c r="O43" s="86"/>
      <c r="P43" s="28">
        <f t="shared" si="1"/>
        <v>920.86614740296682</v>
      </c>
      <c r="Q43" s="28">
        <f t="shared" si="5"/>
        <v>2.3253264911323179</v>
      </c>
      <c r="R43" s="28">
        <f t="shared" si="2"/>
        <v>0.5873946076162827</v>
      </c>
      <c r="S43" s="29">
        <f t="shared" si="3"/>
        <v>1.3658842418384154</v>
      </c>
      <c r="T43" s="1"/>
      <c r="U43" s="1"/>
      <c r="V43" s="1"/>
      <c r="W43" s="1"/>
      <c r="X43" s="1"/>
      <c r="Y43" s="1"/>
      <c r="Z43" s="1"/>
      <c r="AA43" s="1"/>
      <c r="AB43" s="1"/>
      <c r="AC43" s="1"/>
      <c r="AD43" s="1"/>
      <c r="AE43" s="1"/>
      <c r="AF43" s="1"/>
      <c r="AG43" s="1"/>
      <c r="AH43" s="1"/>
      <c r="AI43" s="1"/>
    </row>
    <row r="44" spans="1:35" ht="15.5" x14ac:dyDescent="0.35">
      <c r="A44" s="1"/>
      <c r="B44" s="1"/>
      <c r="C44" s="1"/>
      <c r="D44" s="1"/>
      <c r="E44" s="1"/>
      <c r="F44" s="1"/>
      <c r="G44" s="1"/>
      <c r="H44" s="1"/>
      <c r="I44" s="1"/>
      <c r="J44" s="1"/>
      <c r="K44" s="27">
        <v>18.5</v>
      </c>
      <c r="L44" s="30">
        <f t="shared" si="4"/>
        <v>52253</v>
      </c>
      <c r="M44" s="30">
        <f t="shared" si="0"/>
        <v>52161</v>
      </c>
      <c r="N44" s="86">
        <f t="shared" si="6"/>
        <v>225</v>
      </c>
      <c r="O44" s="86"/>
      <c r="P44" s="28">
        <f t="shared" si="1"/>
        <v>943.60700744770952</v>
      </c>
      <c r="Q44" s="28">
        <f t="shared" si="5"/>
        <v>2.3827506069414452</v>
      </c>
      <c r="R44" s="28">
        <f t="shared" si="2"/>
        <v>0.57877710472014965</v>
      </c>
      <c r="S44" s="29">
        <f t="shared" si="3"/>
        <v>1.379081497555749</v>
      </c>
      <c r="T44" s="1"/>
      <c r="U44" s="1"/>
      <c r="V44" s="1"/>
      <c r="W44" s="1"/>
      <c r="X44" s="1"/>
      <c r="Y44" s="1"/>
      <c r="Z44" s="1"/>
      <c r="AA44" s="1"/>
      <c r="AB44" s="1"/>
      <c r="AC44" s="1"/>
      <c r="AD44" s="1"/>
      <c r="AE44" s="1"/>
      <c r="AF44" s="1"/>
      <c r="AG44" s="1"/>
      <c r="AH44" s="1"/>
      <c r="AI44" s="1"/>
    </row>
    <row r="45" spans="1:35" ht="15.5" x14ac:dyDescent="0.35">
      <c r="A45" s="1"/>
      <c r="B45" s="1"/>
      <c r="C45" s="1"/>
      <c r="D45" s="1"/>
      <c r="E45" s="1"/>
      <c r="F45" s="1"/>
      <c r="G45" s="1"/>
      <c r="H45" s="1"/>
      <c r="I45" s="1"/>
      <c r="J45" s="1"/>
      <c r="K45" s="27">
        <v>19</v>
      </c>
      <c r="L45" s="30">
        <f t="shared" si="4"/>
        <v>52434</v>
      </c>
      <c r="M45" s="30">
        <f t="shared" si="0"/>
        <v>52343</v>
      </c>
      <c r="N45" s="86">
        <f t="shared" si="6"/>
        <v>231</v>
      </c>
      <c r="O45" s="86"/>
      <c r="P45" s="28">
        <f t="shared" si="1"/>
        <v>966.90945477311527</v>
      </c>
      <c r="Q45" s="28">
        <f t="shared" si="5"/>
        <v>2.4415928156889342</v>
      </c>
      <c r="R45" s="28">
        <f t="shared" si="2"/>
        <v>0.57028602681192497</v>
      </c>
      <c r="S45" s="29">
        <f t="shared" si="3"/>
        <v>1.3924062659517829</v>
      </c>
      <c r="T45" s="1"/>
      <c r="U45" s="1"/>
      <c r="V45" s="1"/>
      <c r="W45" s="1"/>
      <c r="X45" s="1"/>
      <c r="Y45" s="1"/>
      <c r="Z45" s="1"/>
      <c r="AA45" s="1"/>
      <c r="AB45" s="1"/>
      <c r="AC45" s="1"/>
      <c r="AD45" s="1"/>
      <c r="AE45" s="1"/>
      <c r="AF45" s="1"/>
      <c r="AG45" s="1"/>
      <c r="AH45" s="1"/>
      <c r="AI45" s="1"/>
    </row>
    <row r="46" spans="1:35" ht="15.5" x14ac:dyDescent="0.35">
      <c r="A46" s="1"/>
      <c r="B46" s="1"/>
      <c r="C46" s="1"/>
      <c r="D46" s="1"/>
      <c r="E46" s="1"/>
      <c r="F46" s="1"/>
      <c r="G46" s="1"/>
      <c r="H46" s="1"/>
      <c r="I46" s="1"/>
      <c r="J46" s="1"/>
      <c r="K46" s="27">
        <v>19.5</v>
      </c>
      <c r="L46" s="30">
        <f t="shared" si="4"/>
        <v>52618</v>
      </c>
      <c r="M46" s="30">
        <f t="shared" si="0"/>
        <v>52526</v>
      </c>
      <c r="N46" s="86">
        <f t="shared" si="6"/>
        <v>237</v>
      </c>
      <c r="O46" s="86"/>
      <c r="P46" s="28">
        <f t="shared" si="1"/>
        <v>990.78735782009505</v>
      </c>
      <c r="Q46" s="28">
        <f t="shared" si="5"/>
        <v>2.5018881372885176</v>
      </c>
      <c r="R46" s="28">
        <f t="shared" si="2"/>
        <v>0.56191951914577642</v>
      </c>
      <c r="S46" s="29">
        <f t="shared" si="3"/>
        <v>1.405859779061686</v>
      </c>
      <c r="T46" s="1"/>
      <c r="U46" s="1"/>
      <c r="V46" s="1"/>
      <c r="W46" s="1"/>
      <c r="X46" s="1"/>
      <c r="Y46" s="1"/>
      <c r="Z46" s="1"/>
      <c r="AA46" s="1"/>
      <c r="AB46" s="1"/>
      <c r="AC46" s="1"/>
      <c r="AD46" s="1"/>
      <c r="AE46" s="1"/>
      <c r="AF46" s="1"/>
      <c r="AG46" s="1"/>
      <c r="AH46" s="1"/>
      <c r="AI46" s="1"/>
    </row>
    <row r="47" spans="1:35" ht="15.5" x14ac:dyDescent="0.35">
      <c r="A47" s="1"/>
      <c r="B47" s="1"/>
      <c r="C47" s="1"/>
      <c r="D47" s="1"/>
      <c r="E47" s="1"/>
      <c r="F47" s="1"/>
      <c r="G47" s="1"/>
      <c r="H47" s="1"/>
      <c r="I47" s="1"/>
      <c r="J47" s="1"/>
      <c r="K47" s="27">
        <v>20</v>
      </c>
      <c r="L47" s="30">
        <f t="shared" si="4"/>
        <v>52800</v>
      </c>
      <c r="M47" s="30">
        <f t="shared" si="0"/>
        <v>52709</v>
      </c>
      <c r="N47" s="86">
        <f t="shared" si="6"/>
        <v>243</v>
      </c>
      <c r="O47" s="86"/>
      <c r="P47" s="28">
        <f t="shared" si="1"/>
        <v>1015.2549275117711</v>
      </c>
      <c r="Q47" s="28">
        <f t="shared" si="5"/>
        <v>2.5636724564733813</v>
      </c>
      <c r="R47" s="28">
        <f t="shared" si="2"/>
        <v>0.55367575418633497</v>
      </c>
      <c r="S47" s="29">
        <f t="shared" si="3"/>
        <v>1.4194432808246333</v>
      </c>
      <c r="T47" s="1"/>
      <c r="U47" s="1"/>
      <c r="V47" s="1"/>
      <c r="W47" s="1"/>
      <c r="X47" s="1"/>
      <c r="Y47" s="1"/>
      <c r="Z47" s="1"/>
      <c r="AA47" s="1"/>
      <c r="AB47" s="1"/>
      <c r="AC47" s="1"/>
      <c r="AD47" s="1"/>
      <c r="AE47" s="1"/>
      <c r="AF47" s="1"/>
      <c r="AG47" s="1"/>
      <c r="AH47" s="1"/>
      <c r="AI47" s="1"/>
    </row>
    <row r="48" spans="1:35" ht="15.5" x14ac:dyDescent="0.35">
      <c r="A48" s="1"/>
      <c r="B48" s="1"/>
      <c r="C48" s="1"/>
      <c r="D48" s="1"/>
      <c r="E48" s="1"/>
      <c r="F48" s="1"/>
      <c r="G48" s="1"/>
      <c r="H48" s="1"/>
      <c r="I48" s="1"/>
      <c r="J48" s="1"/>
      <c r="K48" s="27">
        <v>20.5</v>
      </c>
      <c r="L48" s="30">
        <f t="shared" si="4"/>
        <v>52984</v>
      </c>
      <c r="M48" s="30">
        <f t="shared" si="0"/>
        <v>52892</v>
      </c>
      <c r="N48" s="86">
        <f t="shared" si="6"/>
        <v>249</v>
      </c>
      <c r="O48" s="86"/>
      <c r="P48" s="28">
        <f t="shared" si="1"/>
        <v>1040.3267257110999</v>
      </c>
      <c r="Q48" s="28">
        <f t="shared" si="5"/>
        <v>2.626982544152944</v>
      </c>
      <c r="R48" s="28">
        <f t="shared" si="2"/>
        <v>0.54555293120949155</v>
      </c>
      <c r="S48" s="29">
        <f t="shared" si="3"/>
        <v>1.4331580271988063</v>
      </c>
      <c r="T48" s="1"/>
      <c r="U48" s="1"/>
      <c r="V48" s="1"/>
      <c r="W48" s="1"/>
      <c r="X48" s="1"/>
      <c r="Y48" s="1"/>
      <c r="Z48" s="1"/>
      <c r="AA48" s="1"/>
      <c r="AB48" s="1"/>
      <c r="AC48" s="1"/>
      <c r="AD48" s="1"/>
      <c r="AE48" s="1"/>
      <c r="AF48" s="1"/>
      <c r="AG48" s="1"/>
      <c r="AH48" s="1"/>
      <c r="AI48" s="1"/>
    </row>
    <row r="49" spans="1:35" ht="15.5" x14ac:dyDescent="0.35">
      <c r="A49" s="1"/>
      <c r="B49" s="1"/>
      <c r="C49" s="1"/>
      <c r="D49" s="1"/>
      <c r="E49" s="1"/>
      <c r="F49" s="1"/>
      <c r="G49" s="1"/>
      <c r="H49" s="1"/>
      <c r="I49" s="1"/>
      <c r="J49" s="1"/>
      <c r="K49" s="27">
        <v>21</v>
      </c>
      <c r="L49" s="30">
        <f t="shared" si="4"/>
        <v>53165</v>
      </c>
      <c r="M49" s="30">
        <f t="shared" si="0"/>
        <v>53074</v>
      </c>
      <c r="N49" s="86">
        <f t="shared" si="6"/>
        <v>255</v>
      </c>
      <c r="O49" s="86"/>
      <c r="P49" s="28">
        <f t="shared" si="1"/>
        <v>1066.0176738873597</v>
      </c>
      <c r="Q49" s="28">
        <f>(rdemption_coupon+nominal_coupon)*P49/base_RPI</f>
        <v>281.28811511946145</v>
      </c>
      <c r="R49" s="28">
        <f t="shared" si="2"/>
        <v>0.5375492759090631</v>
      </c>
      <c r="S49" s="29">
        <f>Q49*R49</f>
        <v>151.2062226042917</v>
      </c>
      <c r="T49" s="1"/>
      <c r="U49" s="1"/>
      <c r="V49" s="1"/>
      <c r="W49" s="1"/>
      <c r="X49" s="1"/>
      <c r="Y49" s="1"/>
      <c r="Z49" s="1"/>
      <c r="AA49" s="1"/>
      <c r="AB49" s="1"/>
      <c r="AC49" s="1"/>
      <c r="AD49" s="1"/>
      <c r="AE49" s="1"/>
      <c r="AF49" s="1"/>
      <c r="AG49" s="1"/>
      <c r="AH49" s="1"/>
      <c r="AI49" s="1"/>
    </row>
    <row r="50" spans="1:35" ht="15.5" x14ac:dyDescent="0.35">
      <c r="A50" s="1"/>
      <c r="B50" s="1"/>
      <c r="C50" s="1"/>
      <c r="D50" s="1"/>
      <c r="E50" s="1"/>
      <c r="F50" s="1"/>
      <c r="G50" s="1"/>
      <c r="H50" s="1"/>
      <c r="I50" s="1"/>
      <c r="J50" s="1"/>
      <c r="K50" s="36" t="s">
        <v>92</v>
      </c>
      <c r="L50" s="94">
        <f>SUM(AA30:AA72)</f>
        <v>0</v>
      </c>
      <c r="M50" s="94"/>
      <c r="N50" s="94"/>
      <c r="O50" s="94"/>
      <c r="P50" s="94"/>
      <c r="Q50" s="94"/>
      <c r="R50" s="94"/>
      <c r="S50" s="94"/>
      <c r="T50" s="1"/>
      <c r="U50" s="1"/>
      <c r="V50" s="1"/>
      <c r="W50" s="1"/>
      <c r="X50" s="1"/>
      <c r="Y50" s="1"/>
      <c r="Z50" s="1"/>
      <c r="AA50" s="1"/>
      <c r="AB50" s="1"/>
      <c r="AC50" s="1"/>
      <c r="AD50" s="1"/>
      <c r="AE50" s="1"/>
      <c r="AF50" s="1"/>
      <c r="AG50" s="1"/>
      <c r="AH50" s="1"/>
      <c r="AI50" s="1"/>
    </row>
    <row r="51" spans="1:3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1:3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pans="1:3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pans="1:3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pans="1:3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pans="1:3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pans="1:3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pans="1:3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pans="1:3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pans="1:3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pans="1:3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pans="1:3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pans="1:3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pans="1:3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spans="1:3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spans="1:3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spans="1:3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spans="1:3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spans="1:3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spans="1:3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spans="1:3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spans="1:3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spans="1:3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spans="1:3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spans="1:3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spans="1:3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spans="1:3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spans="1:3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spans="1:3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spans="1:3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1:3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1:3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1:3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1:3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spans="1:3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spans="1:3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spans="1:3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spans="1:3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spans="1:3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spans="1:3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spans="1:3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spans="1:3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spans="1:3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spans="1:3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1:3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1:3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1:3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1:3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spans="1:3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spans="1:3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spans="1:3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spans="1:3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spans="1:3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spans="1:3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spans="1:3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spans="1:3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spans="1:3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spans="1:3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spans="1:3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spans="1:3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spans="1:3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spans="1:3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spans="1:3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spans="1:3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spans="1:3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spans="1:3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spans="1:3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spans="1:3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spans="1:3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spans="1:3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spans="1:3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spans="1:3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spans="1:3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spans="1:3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spans="1:3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spans="1:3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spans="1:3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spans="1:3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spans="1:3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spans="1:3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spans="1:3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spans="1:3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spans="1:3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spans="1:3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spans="1:3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spans="1:3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spans="1:3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spans="1:3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spans="1:3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spans="1:3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spans="1:3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spans="1:3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spans="1:3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spans="1:3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spans="1:3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spans="1:3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spans="1:3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spans="1:3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spans="1:3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spans="1:3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spans="1:3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spans="1:3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spans="1:3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spans="1:3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spans="1:3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spans="1:3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spans="1:3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spans="1:3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spans="1:3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spans="1:3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spans="1:3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spans="1:3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spans="1:3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spans="1:3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spans="1:3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spans="1:3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spans="1:3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spans="1:3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spans="1:3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spans="1:3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spans="1:3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spans="1:3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spans="1:3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spans="1:3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spans="1:3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spans="1:3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spans="1:3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spans="1:3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spans="1:3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spans="1:3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spans="1:3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spans="1:3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spans="1:3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spans="1:3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spans="1:3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spans="1:3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spans="1:3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spans="1:3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spans="1:3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spans="1:3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spans="1:3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spans="1:3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spans="1:3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spans="1:3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spans="1:3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spans="1:3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spans="1:3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spans="1:3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spans="1:3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spans="1:3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spans="1:3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spans="1:3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spans="1:3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spans="1:3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spans="1:3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spans="1:3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spans="1:3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spans="1:3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spans="1:3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spans="1:3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spans="1:3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spans="1:3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spans="1:3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spans="1:3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spans="1:3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spans="1:3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spans="1:3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spans="1:3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spans="1:3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spans="1:3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spans="1:3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spans="1:3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spans="1:3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spans="1:3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spans="1:3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spans="1:3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spans="1:3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spans="1:3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spans="1:3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spans="1:3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spans="1:3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spans="1:3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spans="1:3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spans="1:3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spans="1:3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spans="1:3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spans="1:3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spans="1:3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spans="1:3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spans="1:3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spans="1:3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spans="1:3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spans="1:3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spans="1:3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spans="1:3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spans="1:3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spans="1:3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spans="1:3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spans="1:3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spans="1:3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spans="1:3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spans="1:3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spans="1:3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spans="1:3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spans="1:3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spans="1:3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spans="1:3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spans="1:3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spans="1:3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spans="1:3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spans="1:3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spans="1:3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spans="1:3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spans="1:3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spans="1:3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spans="1:3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spans="1:3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spans="1:3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spans="1:3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spans="1:3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spans="1:3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spans="1:3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spans="1:3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spans="1:3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spans="1:3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spans="1:3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spans="1:3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spans="1:3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spans="1:3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spans="1:3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spans="1:3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spans="1:3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spans="1:3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spans="1:3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spans="1:3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spans="1:3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spans="1:3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spans="1:3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spans="1:3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spans="1:3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spans="1:3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spans="1:3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spans="1:3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spans="1:3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spans="1:3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spans="1:3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spans="1:3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spans="1:3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spans="1:3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spans="1:3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spans="1:3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spans="1:3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spans="1:3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spans="1:3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spans="1:3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spans="1:3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spans="1:3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spans="1:3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spans="1:3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spans="1:3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spans="1:3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spans="1:3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spans="1:3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spans="1:3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spans="1:3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spans="1:3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spans="1:3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spans="1:3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spans="1:3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spans="1:3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spans="1:3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spans="1:3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spans="1:3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spans="1:3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spans="1:3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spans="1:3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spans="1:3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spans="1:3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spans="1:3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spans="1:3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spans="1:3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spans="1:3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spans="1:3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spans="1:3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spans="1:3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spans="1:3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spans="1:3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spans="1:3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spans="1:3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spans="1:3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spans="1:3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spans="1:3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spans="1:3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spans="1:3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spans="1:3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spans="1:3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spans="1:3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spans="1:3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spans="1:3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spans="1:3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spans="1:3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spans="1:3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spans="1:3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spans="1:3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spans="1:3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spans="1:3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spans="1:3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spans="1:3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spans="1:3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spans="1:3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spans="1:3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spans="1:3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spans="1:3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spans="1:3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spans="1:3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spans="1:3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spans="1:3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spans="1:3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spans="1:3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spans="1:3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spans="1:3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spans="1:3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spans="1:3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spans="1:3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spans="1:3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spans="1:3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spans="1:3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spans="1:3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spans="1:3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spans="1:3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spans="1:3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spans="1:3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spans="1:3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spans="1:3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spans="1:3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spans="1:3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spans="1:3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spans="1:3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spans="1:3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spans="1:3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spans="1:3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spans="1:3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spans="1:3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spans="1:3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spans="1:3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spans="1:3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spans="1:3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spans="1:3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spans="1:3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spans="1:3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spans="1:3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spans="1:3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spans="1:3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spans="1:3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spans="1:3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spans="1:3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spans="1:3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spans="1:3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spans="1:3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spans="1:3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spans="1:3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spans="1:3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spans="1:3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spans="1:3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spans="1:3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spans="1:3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spans="1:3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spans="1:3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spans="1:3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spans="1:3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spans="1:3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spans="1:3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spans="1:3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spans="1:3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spans="1:3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spans="1:3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spans="1:3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spans="1:3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spans="1:3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spans="1:3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spans="1:3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spans="1:3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spans="1:3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spans="1:3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spans="1:3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spans="1:3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spans="1:3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spans="1:3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spans="1:3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spans="1:3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spans="1:3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spans="1:3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spans="1:3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spans="1:3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spans="1:3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spans="1:3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spans="1:3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spans="1:3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spans="1:3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spans="1:3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spans="1:3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spans="1:3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spans="1:3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spans="1:3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spans="1:3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spans="1:3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spans="1:3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spans="1:3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spans="1:3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spans="1:3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spans="1:3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spans="1:3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spans="1:3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spans="1:3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spans="1:3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spans="1:3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spans="1:3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spans="1:3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spans="1:3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spans="1:3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spans="1:3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spans="1:3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spans="1:3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spans="1:3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spans="1:3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spans="1:3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spans="1:3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spans="1:3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spans="1:3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spans="1:3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spans="1:3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spans="1:3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spans="1:3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spans="1:3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spans="1:3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spans="1:3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spans="1:3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spans="1:3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spans="1:3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spans="1:3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spans="1:3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spans="1:3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spans="1:3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spans="1:3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spans="1:3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spans="1:3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spans="1:3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spans="1:3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spans="1:3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spans="1:3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spans="1:3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spans="1:3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spans="1:3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spans="1:3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spans="1:3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spans="1:3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spans="1:3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spans="1:3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spans="1:3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spans="1:3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spans="1:3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spans="1:3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spans="1:3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spans="1:3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spans="1:3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spans="1:3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spans="1:3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spans="1:3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spans="1:3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spans="1:3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spans="1:3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spans="1:3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spans="1:3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spans="1:3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spans="1:3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spans="1:3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spans="1:3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spans="1:3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spans="1:3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spans="1:3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spans="1:3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spans="1:3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spans="1:3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spans="1:3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spans="1:3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spans="1:3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spans="1:3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spans="1:3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spans="1:3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spans="1:3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spans="1:3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spans="1:3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spans="1:3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spans="1:3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spans="1:3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spans="1:3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spans="1:3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spans="1:3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spans="1:3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spans="1:3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spans="1:3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spans="1:3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spans="1:3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spans="1:3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spans="1:3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spans="1:3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spans="1:3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spans="1:3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spans="1:3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spans="1:3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spans="1:3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spans="1:3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spans="1:3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spans="1:3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spans="1:3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spans="1:3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spans="1:3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spans="1:3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spans="1:3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spans="1:3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spans="1:3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spans="1:3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spans="1:3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spans="1:3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spans="1:3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spans="1:3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spans="1:3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spans="1:3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spans="1:3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spans="1:3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spans="1:3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spans="1:3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spans="1:3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spans="1:3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spans="1:3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spans="1:3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spans="1:3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spans="1:3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spans="1:3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spans="1:3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spans="1:3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spans="1:3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spans="1:3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spans="1:3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spans="1:3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spans="1:3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spans="1:3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spans="1:3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spans="1:3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spans="1:3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spans="1:3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spans="1:3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1:3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1:3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spans="1:3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spans="1:3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spans="1:3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spans="1:3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spans="1:3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spans="1:3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spans="1:3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spans="1:3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spans="1:3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spans="1:3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spans="1:3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spans="1:3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spans="1:3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spans="1:3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spans="1:3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spans="1:3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spans="1:3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spans="1:3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spans="1:3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spans="1:3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spans="1:3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spans="1:3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spans="1:3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spans="1:3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spans="1:3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spans="1:3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spans="1:3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spans="1:3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spans="1:3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spans="1:3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spans="1:3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spans="1:3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spans="1:3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spans="1:3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spans="1:3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spans="1:3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spans="1:3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spans="1:3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spans="1:3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spans="1:3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spans="1:3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spans="1:3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spans="1:3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spans="1:3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spans="1:3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spans="1:3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spans="1:3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spans="1:3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spans="1:3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spans="1:3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spans="1:3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spans="1:3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spans="1:3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spans="1:3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spans="1:3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spans="1:3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spans="1:3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spans="1:3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spans="1:3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spans="1:3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spans="1:3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spans="1:3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spans="1:3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spans="1:3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spans="1:3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spans="1:3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spans="1:3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spans="1:3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spans="1:3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spans="1:3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spans="1:3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spans="1:3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spans="1:3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spans="1:3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spans="1:3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spans="1:3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spans="1:3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spans="1:3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spans="1:3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spans="1:3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spans="1:3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spans="1:3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spans="1:3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spans="1:3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spans="1:3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spans="1:3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spans="1:3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spans="1:3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spans="1:3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spans="1:3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spans="1:3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spans="1:3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spans="1:3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spans="1:3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spans="1:3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spans="1:3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spans="1:3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spans="1:3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spans="1:3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spans="1:3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spans="1:3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spans="1:3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spans="1:3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spans="1:3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spans="1:3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spans="1:3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spans="1:3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spans="1:3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spans="1:3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spans="1:3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spans="1:3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spans="1:3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spans="1:3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spans="1:3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spans="1:3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spans="1:3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spans="1:3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spans="1:3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spans="1:3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spans="1:3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spans="1:3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spans="1:3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spans="1:3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spans="1:3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spans="1:3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spans="1:3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spans="1:3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spans="1:3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spans="1:3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spans="1:3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spans="1:3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spans="1:3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spans="1:3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spans="1:3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spans="1:3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spans="1:3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spans="1:3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spans="1:3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spans="1:3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spans="1:3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spans="1:3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spans="1:3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spans="1:3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spans="1:3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spans="1:3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spans="1:3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spans="1:3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spans="1:3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spans="1:3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spans="1:3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spans="1:3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spans="1:3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spans="1:3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spans="1:3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spans="1:3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spans="1:3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spans="1:3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spans="1:3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spans="1:3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spans="1:3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spans="1:3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spans="1:3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spans="1:3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spans="1:3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spans="1:3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spans="1:3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spans="1:3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spans="1:3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spans="1:3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spans="1:3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spans="1:3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spans="1:3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spans="1:3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spans="1:3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spans="1:3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spans="1:3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spans="1:3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spans="1:3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spans="1:3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spans="1:3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spans="1:3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spans="1:3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spans="1:3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spans="1:3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spans="1:3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spans="1:3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spans="1:3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spans="1:3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spans="1:3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spans="1:3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spans="1:3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spans="1:3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spans="1:3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spans="1:3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spans="1:3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spans="1:3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spans="1:3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spans="1:3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spans="1:3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spans="1:3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spans="1:3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spans="1:3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spans="1:3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spans="1:3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spans="1:3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spans="1:3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spans="1:3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spans="1:3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spans="1:3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spans="1:3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spans="1:3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spans="1:3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spans="1:3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spans="1:3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spans="1:3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spans="1:3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spans="1:3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spans="1:3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spans="1:3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spans="1:3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spans="1:3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spans="1:3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spans="1:3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spans="1:3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spans="1:3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spans="1:3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spans="1:3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spans="1:3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spans="1:3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spans="1:3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spans="1:3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spans="1:3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spans="1:3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spans="1:3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spans="1:3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spans="1:3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spans="1:3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spans="1:3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spans="1:3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spans="1:3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spans="1:3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spans="1:3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spans="1:3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spans="1:3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spans="1:3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spans="1:3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spans="1:3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spans="1:3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spans="1:3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sheetData>
  <mergeCells count="65">
    <mergeCell ref="K4:K5"/>
    <mergeCell ref="L4:L5"/>
    <mergeCell ref="L50:S50"/>
    <mergeCell ref="N48:O48"/>
    <mergeCell ref="N49:O49"/>
    <mergeCell ref="N45:O45"/>
    <mergeCell ref="N46:O46"/>
    <mergeCell ref="N47:O47"/>
    <mergeCell ref="N42:O42"/>
    <mergeCell ref="N43:O43"/>
    <mergeCell ref="N44:O44"/>
    <mergeCell ref="N39:O39"/>
    <mergeCell ref="N40:O40"/>
    <mergeCell ref="N41:O41"/>
    <mergeCell ref="N36:O36"/>
    <mergeCell ref="N37:O37"/>
    <mergeCell ref="N38:O38"/>
    <mergeCell ref="N33:O33"/>
    <mergeCell ref="N34:O34"/>
    <mergeCell ref="N35:O35"/>
    <mergeCell ref="E21:G21"/>
    <mergeCell ref="N30:O30"/>
    <mergeCell ref="N31:O31"/>
    <mergeCell ref="N32:O32"/>
    <mergeCell ref="N27:O27"/>
    <mergeCell ref="N28:O28"/>
    <mergeCell ref="N29:O29"/>
    <mergeCell ref="N24:O24"/>
    <mergeCell ref="N25:O25"/>
    <mergeCell ref="N26:O26"/>
    <mergeCell ref="N21:O21"/>
    <mergeCell ref="N22:O22"/>
    <mergeCell ref="N23:O23"/>
    <mergeCell ref="E19:G19"/>
    <mergeCell ref="N19:O19"/>
    <mergeCell ref="E20:G20"/>
    <mergeCell ref="N20:O20"/>
    <mergeCell ref="N17:O17"/>
    <mergeCell ref="E18:G18"/>
    <mergeCell ref="N18:O18"/>
    <mergeCell ref="N9:O9"/>
    <mergeCell ref="E15:G15"/>
    <mergeCell ref="N15:O15"/>
    <mergeCell ref="E16:G16"/>
    <mergeCell ref="N16:O16"/>
    <mergeCell ref="E13:G13"/>
    <mergeCell ref="N13:O13"/>
    <mergeCell ref="E14:G14"/>
    <mergeCell ref="N14:O14"/>
    <mergeCell ref="C24:D25"/>
    <mergeCell ref="R4:R5"/>
    <mergeCell ref="S4:S5"/>
    <mergeCell ref="E7:F7"/>
    <mergeCell ref="E24:E25"/>
    <mergeCell ref="N4:O4"/>
    <mergeCell ref="N5:O5"/>
    <mergeCell ref="N6:O6"/>
    <mergeCell ref="N10:O10"/>
    <mergeCell ref="P4:P5"/>
    <mergeCell ref="N11:O11"/>
    <mergeCell ref="E12:G12"/>
    <mergeCell ref="N12:O12"/>
    <mergeCell ref="N7:O7"/>
    <mergeCell ref="N8:O8"/>
    <mergeCell ref="E17:G1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CFED-42D0-4B50-81E1-C1A2476FC59A}">
  <dimension ref="A1:AL949"/>
  <sheetViews>
    <sheetView zoomScale="77" zoomScaleNormal="77" workbookViewId="0">
      <selection activeCell="G14" sqref="G14"/>
    </sheetView>
  </sheetViews>
  <sheetFormatPr defaultRowHeight="14.5" x14ac:dyDescent="0.35"/>
  <cols>
    <col min="1" max="1" width="12.36328125" bestFit="1" customWidth="1"/>
    <col min="2" max="2" width="13" bestFit="1" customWidth="1"/>
    <col min="3" max="3" width="15.1796875" bestFit="1" customWidth="1"/>
    <col min="4" max="4" width="17.1796875" customWidth="1"/>
    <col min="5" max="5" width="16.1796875" bestFit="1" customWidth="1"/>
    <col min="6" max="6" width="25.6328125" bestFit="1" customWidth="1"/>
    <col min="7" max="7" width="27" customWidth="1"/>
    <col min="10" max="10" width="8.90625" bestFit="1" customWidth="1"/>
    <col min="11" max="11" width="14.08984375" bestFit="1" customWidth="1"/>
    <col min="12" max="12" width="15.08984375" bestFit="1" customWidth="1"/>
    <col min="13" max="13" width="22.90625" customWidth="1"/>
    <col min="14" max="14" width="8.90625" bestFit="1" customWidth="1"/>
    <col min="15" max="15" width="15.1796875" customWidth="1"/>
    <col min="16" max="16" width="16.6328125" bestFit="1" customWidth="1"/>
    <col min="17" max="17" width="14.6328125" customWidth="1"/>
    <col min="18" max="18" width="18.81640625" bestFit="1" customWidth="1"/>
    <col min="19" max="19" width="17.26953125" bestFit="1" customWidth="1"/>
    <col min="20" max="20" width="16.36328125" bestFit="1" customWidth="1"/>
    <col min="21" max="21" width="19.08984375" bestFit="1" customWidth="1"/>
    <col min="22" max="22" width="45" bestFit="1" customWidth="1"/>
    <col min="23" max="23" width="15.81640625" bestFit="1" customWidth="1"/>
    <col min="24" max="24" width="16.453125" bestFit="1" customWidth="1"/>
    <col min="25" max="25" width="49.26953125" bestFit="1" customWidth="1"/>
  </cols>
  <sheetData>
    <row r="1" spans="1:38" ht="15.5" x14ac:dyDescent="0.35">
      <c r="A1" s="31" t="s">
        <v>1</v>
      </c>
      <c r="B1" s="32" t="s">
        <v>0</v>
      </c>
      <c r="C1" s="16"/>
      <c r="D1" s="16"/>
      <c r="E1" s="16"/>
      <c r="F1" s="16"/>
      <c r="G1" s="16"/>
      <c r="H1" s="16"/>
      <c r="I1" s="16"/>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ht="15.5" x14ac:dyDescent="0.35">
      <c r="A2" s="16"/>
      <c r="B2" s="16"/>
      <c r="C2" s="16"/>
      <c r="D2" s="16"/>
      <c r="E2" s="16"/>
      <c r="F2" s="16"/>
      <c r="G2" s="16"/>
      <c r="H2" s="16"/>
      <c r="I2" s="16"/>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15.5" x14ac:dyDescent="0.35">
      <c r="A3" s="16"/>
      <c r="B3" s="40"/>
      <c r="C3" s="40"/>
      <c r="D3" s="41"/>
      <c r="E3" s="41"/>
      <c r="F3" s="41"/>
      <c r="G3" s="16"/>
      <c r="H3" s="16"/>
      <c r="I3" s="16"/>
      <c r="J3" s="1"/>
      <c r="K3" s="1"/>
      <c r="L3" s="1"/>
      <c r="M3" s="1"/>
      <c r="N3" s="1"/>
      <c r="O3" s="1"/>
      <c r="P3" s="1"/>
      <c r="Q3" s="1"/>
      <c r="R3" s="1"/>
      <c r="S3" s="1"/>
      <c r="T3" s="1"/>
      <c r="U3" s="1"/>
      <c r="V3" s="1"/>
      <c r="W3" s="1"/>
      <c r="X3" s="1"/>
      <c r="Y3" s="1"/>
      <c r="Z3" s="1"/>
      <c r="AA3" s="1"/>
      <c r="AB3" s="1"/>
      <c r="AC3" s="1"/>
      <c r="AD3" s="1"/>
      <c r="AE3" s="1"/>
      <c r="AF3" s="1"/>
      <c r="AG3" s="1"/>
      <c r="AH3" s="1"/>
      <c r="AI3" s="1"/>
      <c r="AJ3" s="1"/>
      <c r="AK3" s="1"/>
      <c r="AL3" s="1"/>
    </row>
    <row r="4" spans="1:38" ht="15.5" x14ac:dyDescent="0.35">
      <c r="A4" s="16"/>
      <c r="B4" s="34"/>
      <c r="C4" s="15"/>
      <c r="D4" s="16"/>
      <c r="E4" s="16"/>
      <c r="F4" s="16"/>
      <c r="G4" s="16"/>
      <c r="H4" s="16"/>
      <c r="I4" s="16"/>
      <c r="J4" s="1"/>
      <c r="K4" s="9"/>
      <c r="L4" s="9"/>
      <c r="M4" s="9"/>
      <c r="Z4" s="1"/>
      <c r="AA4" s="1"/>
      <c r="AB4" s="1"/>
      <c r="AC4" s="1"/>
      <c r="AD4" s="1"/>
      <c r="AE4" s="1"/>
      <c r="AF4" s="1"/>
      <c r="AG4" s="1"/>
      <c r="AH4" s="1"/>
      <c r="AI4" s="1"/>
      <c r="AJ4" s="1"/>
      <c r="AK4" s="1"/>
      <c r="AL4" s="1"/>
    </row>
    <row r="5" spans="1:38" ht="15.5" x14ac:dyDescent="0.35">
      <c r="A5" s="16"/>
      <c r="B5" s="34"/>
      <c r="C5" s="10" t="s">
        <v>2</v>
      </c>
      <c r="D5" s="10" t="s">
        <v>3</v>
      </c>
      <c r="E5" s="95" t="s">
        <v>4</v>
      </c>
      <c r="F5" s="96"/>
      <c r="G5" s="97"/>
      <c r="H5" s="16"/>
      <c r="I5" s="16"/>
      <c r="K5" s="9"/>
      <c r="L5" s="9"/>
      <c r="M5" s="9"/>
      <c r="N5" s="9"/>
      <c r="O5" s="9"/>
      <c r="P5" s="9"/>
      <c r="Q5" s="9"/>
      <c r="R5" s="9"/>
      <c r="S5" s="9"/>
      <c r="T5" s="9"/>
      <c r="U5" s="9"/>
      <c r="V5" s="9"/>
      <c r="Z5" s="1"/>
      <c r="AA5" s="1"/>
      <c r="AB5" s="1"/>
      <c r="AC5" s="1"/>
      <c r="AD5" s="1"/>
      <c r="AE5" s="1"/>
      <c r="AF5" s="1"/>
      <c r="AG5" s="1"/>
      <c r="AH5" s="1"/>
      <c r="AI5" s="1"/>
      <c r="AJ5" s="1"/>
      <c r="AK5" s="1"/>
      <c r="AL5" s="1"/>
    </row>
    <row r="6" spans="1:38" ht="15.5" x14ac:dyDescent="0.35">
      <c r="A6" s="16"/>
      <c r="B6" s="34"/>
      <c r="C6" s="11" t="s">
        <v>28</v>
      </c>
      <c r="D6" s="13">
        <v>4.8500000000000001E-2</v>
      </c>
      <c r="E6" s="81" t="s">
        <v>30</v>
      </c>
      <c r="F6" s="82"/>
      <c r="G6" s="83"/>
      <c r="H6" s="16"/>
      <c r="I6" s="16"/>
      <c r="K6" s="9"/>
      <c r="L6" s="9"/>
      <c r="M6" s="9"/>
      <c r="N6" s="9"/>
      <c r="O6" s="9"/>
      <c r="P6" s="9"/>
      <c r="Q6" s="9"/>
      <c r="R6" s="9"/>
      <c r="S6" s="9"/>
      <c r="T6" s="9"/>
      <c r="U6" s="9"/>
      <c r="V6" s="9"/>
      <c r="Z6" s="1"/>
      <c r="AA6" s="1"/>
      <c r="AB6" s="1"/>
      <c r="AC6" s="1"/>
      <c r="AD6" s="1"/>
      <c r="AE6" s="1"/>
      <c r="AF6" s="1"/>
      <c r="AG6" s="1"/>
      <c r="AH6" s="1"/>
      <c r="AI6" s="1"/>
      <c r="AJ6" s="1"/>
      <c r="AK6" s="1"/>
      <c r="AL6" s="1"/>
    </row>
    <row r="7" spans="1:38" ht="15.5" x14ac:dyDescent="0.35">
      <c r="A7" s="16"/>
      <c r="B7" s="34"/>
      <c r="C7" s="11" t="s">
        <v>29</v>
      </c>
      <c r="D7" s="13">
        <v>2.3699999999999999E-2</v>
      </c>
      <c r="E7" s="105" t="s">
        <v>30</v>
      </c>
      <c r="F7" s="105"/>
      <c r="G7" s="105"/>
      <c r="H7" s="16"/>
      <c r="I7" s="16"/>
      <c r="K7" s="9"/>
      <c r="L7" s="9"/>
      <c r="M7" s="9"/>
      <c r="N7" s="9"/>
      <c r="O7" s="9"/>
      <c r="P7" s="9"/>
      <c r="Q7" s="9"/>
      <c r="R7" s="9"/>
      <c r="S7" s="9"/>
      <c r="T7" s="9"/>
      <c r="U7" s="9"/>
      <c r="V7" s="9"/>
      <c r="Z7" s="1"/>
      <c r="AA7" s="1"/>
      <c r="AB7" s="1"/>
      <c r="AC7" s="1"/>
      <c r="AD7" s="1"/>
      <c r="AE7" s="1"/>
      <c r="AF7" s="1"/>
      <c r="AG7" s="1"/>
      <c r="AH7" s="1"/>
      <c r="AI7" s="1"/>
      <c r="AJ7" s="1"/>
      <c r="AK7" s="1"/>
      <c r="AL7" s="1"/>
    </row>
    <row r="8" spans="1:38" ht="15.5" x14ac:dyDescent="0.35">
      <c r="A8" s="16"/>
      <c r="B8" s="34"/>
      <c r="C8" s="34"/>
      <c r="D8" s="42"/>
      <c r="E8" s="16"/>
      <c r="F8" s="16"/>
      <c r="G8" s="16"/>
      <c r="H8" s="16"/>
      <c r="I8" s="16"/>
      <c r="K8" s="9"/>
      <c r="L8" s="9"/>
      <c r="M8" s="9"/>
      <c r="N8" s="9"/>
      <c r="O8" s="9"/>
      <c r="P8" s="9"/>
      <c r="Q8" s="9"/>
      <c r="R8" s="9"/>
      <c r="S8" s="9"/>
      <c r="T8" s="9"/>
      <c r="U8" s="9"/>
      <c r="V8" s="9"/>
      <c r="Z8" s="1"/>
      <c r="AA8" s="1"/>
      <c r="AB8" s="1"/>
      <c r="AC8" s="1"/>
      <c r="AD8" s="1"/>
      <c r="AE8" s="1"/>
      <c r="AF8" s="1"/>
      <c r="AG8" s="1"/>
      <c r="AH8" s="1"/>
      <c r="AI8" s="1"/>
      <c r="AJ8" s="1"/>
      <c r="AK8" s="1"/>
      <c r="AL8" s="1"/>
    </row>
    <row r="9" spans="1:38" ht="15.5" x14ac:dyDescent="0.35">
      <c r="A9" s="16"/>
      <c r="B9" s="34"/>
      <c r="C9" s="34"/>
      <c r="D9" s="43"/>
      <c r="E9" s="16"/>
      <c r="F9" s="16"/>
      <c r="G9" s="16"/>
      <c r="H9" s="16"/>
      <c r="I9" s="16"/>
      <c r="K9" s="9"/>
      <c r="L9" s="9"/>
      <c r="M9" s="9"/>
      <c r="N9" s="9"/>
      <c r="O9" s="9"/>
      <c r="P9" s="9"/>
      <c r="Q9" s="9"/>
      <c r="R9" s="9"/>
      <c r="S9" s="9"/>
      <c r="T9" s="9"/>
      <c r="U9" s="9"/>
      <c r="V9" s="9"/>
      <c r="Z9" s="1"/>
      <c r="AA9" s="1"/>
      <c r="AB9" s="1"/>
      <c r="AC9" s="1"/>
      <c r="AD9" s="1"/>
      <c r="AE9" s="1"/>
      <c r="AF9" s="1"/>
      <c r="AG9" s="1"/>
      <c r="AH9" s="1"/>
      <c r="AI9" s="1"/>
      <c r="AJ9" s="1"/>
      <c r="AK9" s="1"/>
      <c r="AL9" s="1"/>
    </row>
    <row r="10" spans="1:38" ht="15.5" x14ac:dyDescent="0.35">
      <c r="A10" s="16"/>
      <c r="B10" s="33"/>
      <c r="C10" s="34"/>
      <c r="D10" s="43"/>
      <c r="E10" s="16"/>
      <c r="F10" s="16"/>
      <c r="G10" s="16"/>
      <c r="H10" s="34"/>
      <c r="I10" s="34"/>
      <c r="K10" s="9"/>
      <c r="L10" s="9"/>
      <c r="M10" s="9"/>
      <c r="N10" s="9"/>
      <c r="O10" s="9"/>
      <c r="P10" s="9"/>
      <c r="Q10" s="9"/>
      <c r="R10" s="9"/>
      <c r="S10" s="9"/>
      <c r="T10" s="9"/>
      <c r="U10" s="9"/>
      <c r="V10" s="9"/>
      <c r="Z10" s="1"/>
      <c r="AA10" s="1"/>
      <c r="AB10" s="1"/>
      <c r="AC10" s="1"/>
      <c r="AD10" s="1"/>
      <c r="AE10" s="1"/>
      <c r="AF10" s="1"/>
      <c r="AG10" s="1"/>
      <c r="AH10" s="1"/>
      <c r="AI10" s="1"/>
      <c r="AJ10" s="1"/>
      <c r="AK10" s="1"/>
      <c r="AL10" s="1"/>
    </row>
    <row r="11" spans="1:38" ht="15.5" x14ac:dyDescent="0.35">
      <c r="A11" s="16"/>
      <c r="B11" s="33"/>
      <c r="C11" s="33"/>
      <c r="D11" s="33"/>
      <c r="E11" s="33"/>
      <c r="F11" s="33"/>
      <c r="G11" s="33"/>
      <c r="H11" s="34"/>
      <c r="I11" s="34"/>
      <c r="K11" s="9"/>
      <c r="L11" s="9"/>
      <c r="M11" s="9"/>
      <c r="N11" s="9"/>
      <c r="O11" s="9"/>
      <c r="P11" s="9"/>
      <c r="Q11" s="9"/>
      <c r="R11" s="9"/>
      <c r="S11" s="9"/>
      <c r="T11" s="9"/>
      <c r="U11" s="9"/>
      <c r="V11" s="9"/>
      <c r="Z11" s="1"/>
      <c r="AA11" s="1"/>
      <c r="AB11" s="1"/>
      <c r="AC11" s="1"/>
      <c r="AD11" s="1"/>
      <c r="AE11" s="1"/>
      <c r="AF11" s="1"/>
      <c r="AG11" s="1"/>
      <c r="AH11" s="1"/>
      <c r="AI11" s="1"/>
      <c r="AJ11" s="1"/>
      <c r="AK11" s="1"/>
      <c r="AL11" s="1"/>
    </row>
    <row r="12" spans="1:38" ht="15.5" x14ac:dyDescent="0.35">
      <c r="A12" s="16"/>
      <c r="B12" s="33"/>
      <c r="C12" s="20" t="s">
        <v>33</v>
      </c>
      <c r="D12" s="20" t="s">
        <v>34</v>
      </c>
      <c r="E12" s="20" t="s">
        <v>35</v>
      </c>
      <c r="F12" s="19" t="s">
        <v>42</v>
      </c>
      <c r="G12" s="19" t="s">
        <v>42</v>
      </c>
      <c r="H12" s="42"/>
      <c r="I12" s="42"/>
      <c r="K12" s="9"/>
      <c r="L12" s="9"/>
      <c r="M12" s="9"/>
      <c r="N12" s="9"/>
      <c r="O12" s="9"/>
      <c r="P12" s="9"/>
      <c r="Q12" s="9"/>
      <c r="R12" s="9"/>
      <c r="S12" s="9"/>
      <c r="T12" s="9"/>
      <c r="U12" s="9"/>
      <c r="V12" s="9"/>
      <c r="Z12" s="1"/>
      <c r="AA12" s="1"/>
      <c r="AB12" s="1"/>
      <c r="AC12" s="1"/>
      <c r="AD12" s="1"/>
      <c r="AE12" s="1"/>
      <c r="AF12" s="1"/>
      <c r="AG12" s="1"/>
      <c r="AH12" s="1"/>
      <c r="AI12" s="1"/>
      <c r="AJ12" s="1"/>
      <c r="AK12" s="1"/>
      <c r="AL12" s="1"/>
    </row>
    <row r="13" spans="1:38" ht="15.5" x14ac:dyDescent="0.35">
      <c r="A13" s="16"/>
      <c r="B13" s="33"/>
      <c r="C13" s="44" t="s">
        <v>32</v>
      </c>
      <c r="D13" s="44" t="s">
        <v>33</v>
      </c>
      <c r="E13" s="45" t="s">
        <v>33</v>
      </c>
      <c r="F13" s="46" t="s">
        <v>36</v>
      </c>
      <c r="G13" s="46" t="s">
        <v>41</v>
      </c>
      <c r="H13" s="42"/>
      <c r="I13" s="42"/>
      <c r="K13" s="9"/>
      <c r="L13" s="9"/>
      <c r="M13" s="9"/>
      <c r="N13" s="9"/>
      <c r="O13" s="9"/>
      <c r="P13" s="9"/>
      <c r="Q13" s="9"/>
      <c r="R13" s="9"/>
      <c r="S13" s="9"/>
      <c r="T13" s="9"/>
      <c r="U13" s="9"/>
      <c r="V13" s="9"/>
      <c r="Z13" s="1"/>
      <c r="AA13" s="1"/>
      <c r="AB13" s="1"/>
      <c r="AC13" s="1"/>
      <c r="AD13" s="1"/>
      <c r="AE13" s="1"/>
      <c r="AF13" s="1"/>
      <c r="AG13" s="1"/>
      <c r="AH13" s="1"/>
      <c r="AI13" s="1"/>
      <c r="AJ13" s="1"/>
      <c r="AK13" s="1"/>
      <c r="AL13" s="1"/>
    </row>
    <row r="14" spans="1:38" ht="16.5" x14ac:dyDescent="0.4">
      <c r="A14" s="16"/>
      <c r="B14" s="33"/>
      <c r="C14" s="27" t="s">
        <v>97</v>
      </c>
      <c r="D14" s="28">
        <f ca="1">RAND()</f>
        <v>0.61217319780363599</v>
      </c>
      <c r="E14" s="28">
        <f t="shared" ref="E14:E33" ca="1" si="0">_xlfn.NORM.S.INV(D14)</f>
        <v>0.28498764902137769</v>
      </c>
      <c r="F14" s="47">
        <f t="shared" ref="F14:F33" ca="1" si="1">EXP(mu+sigma*E14)-1</f>
        <v>5.6809229133698347E-2</v>
      </c>
      <c r="G14" s="28">
        <f ca="1">(1+F14)</f>
        <v>1.0568092291336983</v>
      </c>
      <c r="H14" s="42"/>
      <c r="I14" s="42"/>
      <c r="K14" s="9"/>
      <c r="L14" s="9"/>
      <c r="M14" s="9"/>
      <c r="N14" s="9"/>
      <c r="O14" s="9"/>
      <c r="P14" s="9"/>
      <c r="Q14" s="9"/>
      <c r="R14" s="9"/>
      <c r="S14" s="9"/>
      <c r="T14" s="9"/>
      <c r="U14" s="9"/>
      <c r="V14" s="9"/>
      <c r="Z14" s="1"/>
      <c r="AA14" s="1"/>
      <c r="AB14" s="1"/>
      <c r="AC14" s="1"/>
      <c r="AD14" s="1"/>
      <c r="AE14" s="1"/>
      <c r="AF14" s="1"/>
      <c r="AG14" s="1"/>
      <c r="AH14" s="1"/>
      <c r="AI14" s="1"/>
      <c r="AJ14" s="1"/>
      <c r="AK14" s="1"/>
      <c r="AL14" s="1"/>
    </row>
    <row r="15" spans="1:38" ht="16.5" x14ac:dyDescent="0.4">
      <c r="A15" s="16"/>
      <c r="B15" s="33"/>
      <c r="C15" s="27" t="s">
        <v>98</v>
      </c>
      <c r="D15" s="28">
        <f t="shared" ref="D15:D33" ca="1" si="2">RAND()</f>
        <v>0.38502944656735849</v>
      </c>
      <c r="E15" s="28">
        <f t="shared" ca="1" si="0"/>
        <v>-0.29229786228265919</v>
      </c>
      <c r="F15" s="47">
        <f t="shared" ca="1" si="1"/>
        <v>4.2448779035293871E-2</v>
      </c>
      <c r="G15" s="28">
        <f t="shared" ref="G15:G33" ca="1" si="3">(1+F15)</f>
        <v>1.0424487790352939</v>
      </c>
      <c r="H15" s="42"/>
      <c r="I15" s="42"/>
      <c r="K15" s="9"/>
      <c r="L15" s="9"/>
      <c r="M15" s="9"/>
      <c r="N15" s="9"/>
      <c r="O15" s="9"/>
      <c r="P15" s="9"/>
      <c r="Q15" s="9"/>
      <c r="R15" s="9"/>
      <c r="S15" s="9"/>
      <c r="T15" s="9"/>
      <c r="U15" s="9"/>
      <c r="V15" s="9"/>
      <c r="Z15" s="1"/>
      <c r="AA15" s="1"/>
      <c r="AB15" s="1"/>
      <c r="AC15" s="1"/>
      <c r="AD15" s="1"/>
      <c r="AE15" s="1"/>
      <c r="AF15" s="1"/>
      <c r="AG15" s="1"/>
      <c r="AH15" s="1"/>
      <c r="AI15" s="1"/>
      <c r="AJ15" s="1"/>
      <c r="AK15" s="1"/>
      <c r="AL15" s="1"/>
    </row>
    <row r="16" spans="1:38" ht="16.5" x14ac:dyDescent="0.4">
      <c r="A16" s="16"/>
      <c r="B16" s="33"/>
      <c r="C16" s="27" t="s">
        <v>99</v>
      </c>
      <c r="D16" s="28">
        <f t="shared" ca="1" si="2"/>
        <v>0.74740682847607998</v>
      </c>
      <c r="E16" s="28">
        <f t="shared" ca="1" si="0"/>
        <v>0.66635167514689408</v>
      </c>
      <c r="F16" s="47">
        <f t="shared" ca="1" si="1"/>
        <v>6.6404313403299442E-2</v>
      </c>
      <c r="G16" s="28">
        <f t="shared" ca="1" si="3"/>
        <v>1.0664043134032994</v>
      </c>
      <c r="H16" s="42"/>
      <c r="I16" s="42"/>
      <c r="K16" s="9"/>
      <c r="L16" s="9"/>
      <c r="M16" s="9"/>
      <c r="N16" s="9"/>
      <c r="O16" s="9"/>
      <c r="P16" s="9"/>
      <c r="Q16" s="9"/>
      <c r="R16" s="9"/>
      <c r="S16" s="9"/>
      <c r="T16" s="9"/>
      <c r="U16" s="9"/>
      <c r="V16" s="9"/>
      <c r="Z16" s="1"/>
      <c r="AA16" s="1"/>
      <c r="AB16" s="1"/>
      <c r="AC16" s="1"/>
      <c r="AD16" s="1"/>
      <c r="AE16" s="1"/>
      <c r="AF16" s="1"/>
      <c r="AG16" s="1"/>
      <c r="AH16" s="1"/>
      <c r="AI16" s="1"/>
      <c r="AJ16" s="1"/>
      <c r="AK16" s="1"/>
      <c r="AL16" s="1"/>
    </row>
    <row r="17" spans="1:38" ht="16.5" x14ac:dyDescent="0.4">
      <c r="A17" s="16"/>
      <c r="B17" s="33"/>
      <c r="C17" s="27" t="s">
        <v>100</v>
      </c>
      <c r="D17" s="28">
        <f t="shared" ca="1" si="2"/>
        <v>0.11814560312994038</v>
      </c>
      <c r="E17" s="28">
        <f t="shared" ca="1" si="0"/>
        <v>-1.184307891126865</v>
      </c>
      <c r="F17" s="47">
        <f t="shared" ca="1" si="1"/>
        <v>2.0642063193986315E-2</v>
      </c>
      <c r="G17" s="28">
        <f t="shared" ca="1" si="3"/>
        <v>1.0206420631939863</v>
      </c>
      <c r="H17" s="42"/>
      <c r="I17" s="42"/>
      <c r="K17" s="9"/>
      <c r="L17" s="9"/>
      <c r="M17" s="9"/>
      <c r="N17" s="9"/>
      <c r="O17" s="9"/>
      <c r="P17" s="9"/>
      <c r="Q17" s="9"/>
      <c r="R17" s="9"/>
      <c r="S17" s="9"/>
      <c r="T17" s="9"/>
      <c r="U17" s="9"/>
      <c r="V17" s="9"/>
      <c r="Z17" s="1"/>
      <c r="AA17" s="1"/>
      <c r="AB17" s="1"/>
      <c r="AC17" s="1"/>
      <c r="AD17" s="1"/>
      <c r="AE17" s="1"/>
      <c r="AF17" s="1"/>
      <c r="AG17" s="1"/>
      <c r="AH17" s="1"/>
      <c r="AI17" s="1"/>
      <c r="AJ17" s="1"/>
      <c r="AK17" s="1"/>
      <c r="AL17" s="1"/>
    </row>
    <row r="18" spans="1:38" ht="16.5" x14ac:dyDescent="0.4">
      <c r="A18" s="16"/>
      <c r="B18" s="33"/>
      <c r="C18" s="27" t="s">
        <v>101</v>
      </c>
      <c r="D18" s="28">
        <f t="shared" ca="1" si="2"/>
        <v>9.1117748815220168E-2</v>
      </c>
      <c r="E18" s="28">
        <f t="shared" ca="1" si="0"/>
        <v>-1.3339034595722892</v>
      </c>
      <c r="F18" s="47">
        <f t="shared" ca="1" si="1"/>
        <v>1.702987068638584E-2</v>
      </c>
      <c r="G18" s="28">
        <f t="shared" ca="1" si="3"/>
        <v>1.0170298706863858</v>
      </c>
      <c r="H18" s="42"/>
      <c r="I18" s="42"/>
      <c r="K18" s="9"/>
      <c r="L18" s="9"/>
      <c r="M18" s="9"/>
      <c r="N18" s="9"/>
      <c r="O18" s="9"/>
      <c r="P18" s="9"/>
      <c r="Q18" s="9"/>
      <c r="R18" s="9"/>
      <c r="S18" s="9"/>
      <c r="T18" s="9"/>
      <c r="U18" s="9"/>
      <c r="V18" s="9"/>
      <c r="Z18" s="1"/>
      <c r="AA18" s="1"/>
      <c r="AB18" s="1"/>
      <c r="AC18" s="1"/>
      <c r="AD18" s="1"/>
      <c r="AE18" s="1"/>
      <c r="AF18" s="1"/>
      <c r="AG18" s="1"/>
      <c r="AH18" s="1"/>
      <c r="AI18" s="1"/>
      <c r="AJ18" s="1"/>
      <c r="AK18" s="1"/>
      <c r="AL18" s="1"/>
    </row>
    <row r="19" spans="1:38" ht="16.5" x14ac:dyDescent="0.4">
      <c r="A19" s="16"/>
      <c r="B19" s="33"/>
      <c r="C19" s="27" t="s">
        <v>102</v>
      </c>
      <c r="D19" s="28">
        <f t="shared" ca="1" si="2"/>
        <v>0.74372358897153035</v>
      </c>
      <c r="E19" s="28">
        <f t="shared" ca="1" si="0"/>
        <v>0.65486787988172868</v>
      </c>
      <c r="F19" s="47">
        <f t="shared" ca="1" si="1"/>
        <v>6.6114113955615839E-2</v>
      </c>
      <c r="G19" s="28">
        <f t="shared" ca="1" si="3"/>
        <v>1.0661141139556158</v>
      </c>
      <c r="H19" s="42"/>
      <c r="I19" s="42"/>
      <c r="K19" s="9"/>
      <c r="L19" s="9"/>
      <c r="M19" s="9"/>
      <c r="N19" s="9"/>
      <c r="O19" s="9"/>
      <c r="P19" s="9"/>
      <c r="Q19" s="9"/>
      <c r="R19" s="9"/>
      <c r="S19" s="9"/>
      <c r="T19" s="9"/>
      <c r="U19" s="9"/>
      <c r="V19" s="9"/>
      <c r="Z19" s="1"/>
      <c r="AA19" s="1"/>
      <c r="AB19" s="1"/>
      <c r="AC19" s="1"/>
      <c r="AD19" s="1"/>
      <c r="AE19" s="1"/>
      <c r="AF19" s="1"/>
      <c r="AG19" s="1"/>
      <c r="AH19" s="1"/>
      <c r="AI19" s="1"/>
      <c r="AJ19" s="1"/>
      <c r="AK19" s="1"/>
      <c r="AL19" s="1"/>
    </row>
    <row r="20" spans="1:38" ht="16.5" x14ac:dyDescent="0.4">
      <c r="A20" s="16"/>
      <c r="B20" s="33"/>
      <c r="C20" s="27" t="s">
        <v>103</v>
      </c>
      <c r="D20" s="28">
        <f t="shared" ca="1" si="2"/>
        <v>0.40725265820377532</v>
      </c>
      <c r="E20" s="28">
        <f t="shared" ca="1" si="0"/>
        <v>-0.23461789833138441</v>
      </c>
      <c r="F20" s="47">
        <f t="shared" ca="1" si="1"/>
        <v>4.3874796776649516E-2</v>
      </c>
      <c r="G20" s="28">
        <f t="shared" ca="1" si="3"/>
        <v>1.0438747967766495</v>
      </c>
      <c r="H20" s="42"/>
      <c r="I20" s="42"/>
      <c r="K20" s="9"/>
      <c r="L20" s="9"/>
      <c r="M20" s="9"/>
      <c r="N20" s="9"/>
      <c r="O20" s="9"/>
      <c r="P20" s="9"/>
      <c r="Q20" s="9"/>
      <c r="R20" s="9"/>
      <c r="S20" s="9"/>
      <c r="T20" s="9"/>
      <c r="U20" s="9"/>
      <c r="V20" s="9"/>
      <c r="Z20" s="1"/>
      <c r="AA20" s="1"/>
      <c r="AB20" s="1"/>
      <c r="AC20" s="1"/>
      <c r="AD20" s="1"/>
      <c r="AE20" s="1"/>
      <c r="AF20" s="1"/>
      <c r="AG20" s="1"/>
      <c r="AH20" s="1"/>
      <c r="AI20" s="1"/>
      <c r="AJ20" s="1"/>
      <c r="AK20" s="1"/>
      <c r="AL20" s="1"/>
    </row>
    <row r="21" spans="1:38" ht="16.5" x14ac:dyDescent="0.4">
      <c r="A21" s="16"/>
      <c r="B21" s="33"/>
      <c r="C21" s="27" t="s">
        <v>104</v>
      </c>
      <c r="D21" s="28">
        <f t="shared" ca="1" si="2"/>
        <v>0.3096091346987474</v>
      </c>
      <c r="E21" s="28">
        <f t="shared" ca="1" si="0"/>
        <v>-0.49695856719603748</v>
      </c>
      <c r="F21" s="47">
        <f t="shared" ca="1" si="1"/>
        <v>3.7404667296224048E-2</v>
      </c>
      <c r="G21" s="28">
        <f t="shared" ca="1" si="3"/>
        <v>1.037404667296224</v>
      </c>
      <c r="H21" s="42"/>
      <c r="I21" s="42"/>
      <c r="K21" s="9"/>
      <c r="L21" s="9"/>
      <c r="M21" s="9"/>
      <c r="N21" s="9"/>
      <c r="O21" s="9"/>
      <c r="P21" s="9"/>
      <c r="Q21" s="9"/>
      <c r="R21" s="9"/>
      <c r="S21" s="9"/>
      <c r="T21" s="9"/>
      <c r="U21" s="9"/>
      <c r="V21" s="9"/>
      <c r="Z21" s="1"/>
      <c r="AA21" s="1"/>
      <c r="AB21" s="1"/>
      <c r="AC21" s="1"/>
      <c r="AD21" s="1"/>
      <c r="AE21" s="1"/>
      <c r="AF21" s="1"/>
      <c r="AG21" s="1"/>
      <c r="AH21" s="1"/>
      <c r="AI21" s="1"/>
      <c r="AJ21" s="1"/>
      <c r="AK21" s="1"/>
      <c r="AL21" s="1"/>
    </row>
    <row r="22" spans="1:38" ht="16.5" x14ac:dyDescent="0.4">
      <c r="A22" s="16"/>
      <c r="B22" s="33"/>
      <c r="C22" s="27" t="s">
        <v>105</v>
      </c>
      <c r="D22" s="28">
        <f t="shared" ca="1" si="2"/>
        <v>0.49602642445284539</v>
      </c>
      <c r="E22" s="28">
        <f t="shared" ca="1" si="0"/>
        <v>-9.9604415119854926E-3</v>
      </c>
      <c r="F22" s="47">
        <f t="shared" ca="1" si="1"/>
        <v>4.9447607389669468E-2</v>
      </c>
      <c r="G22" s="28">
        <f t="shared" ca="1" si="3"/>
        <v>1.0494476073896695</v>
      </c>
      <c r="H22" s="42"/>
      <c r="I22" s="42"/>
      <c r="K22" s="9"/>
      <c r="L22" s="9"/>
      <c r="M22" s="9"/>
      <c r="N22" s="9"/>
      <c r="O22" s="9"/>
      <c r="P22" s="9"/>
      <c r="Q22" s="9"/>
      <c r="R22" s="9"/>
      <c r="S22" s="9"/>
      <c r="T22" s="9"/>
      <c r="U22" s="9"/>
      <c r="V22" s="9"/>
      <c r="Z22" s="1"/>
      <c r="AA22" s="1"/>
      <c r="AB22" s="1"/>
      <c r="AC22" s="1"/>
      <c r="AD22" s="1"/>
      <c r="AE22" s="1"/>
      <c r="AF22" s="1"/>
      <c r="AG22" s="1"/>
      <c r="AH22" s="1"/>
      <c r="AI22" s="1"/>
      <c r="AJ22" s="1"/>
      <c r="AK22" s="1"/>
      <c r="AL22" s="1"/>
    </row>
    <row r="23" spans="1:38" ht="16.5" x14ac:dyDescent="0.4">
      <c r="A23" s="16"/>
      <c r="B23" s="33"/>
      <c r="C23" s="27" t="s">
        <v>106</v>
      </c>
      <c r="D23" s="28">
        <f t="shared" ca="1" si="2"/>
        <v>0.52955348115707679</v>
      </c>
      <c r="E23" s="28">
        <f t="shared" ca="1" si="0"/>
        <v>7.4147477420369146E-2</v>
      </c>
      <c r="F23" s="47">
        <f t="shared" ca="1" si="1"/>
        <v>5.154161819913794E-2</v>
      </c>
      <c r="G23" s="28">
        <f t="shared" ca="1" si="3"/>
        <v>1.0515416181991379</v>
      </c>
      <c r="H23" s="42"/>
      <c r="I23" s="42"/>
      <c r="K23" s="9"/>
      <c r="L23" s="9"/>
      <c r="M23" s="9"/>
      <c r="N23" s="9"/>
      <c r="O23" s="9"/>
      <c r="P23" s="9"/>
      <c r="Q23" s="9"/>
      <c r="R23" s="9"/>
      <c r="S23" s="9"/>
      <c r="T23" s="9"/>
      <c r="U23" s="9"/>
      <c r="V23" s="9"/>
      <c r="Z23" s="1"/>
      <c r="AA23" s="1"/>
      <c r="AB23" s="1"/>
      <c r="AC23" s="1"/>
      <c r="AD23" s="1"/>
      <c r="AE23" s="1"/>
      <c r="AF23" s="1"/>
      <c r="AG23" s="1"/>
      <c r="AH23" s="1"/>
      <c r="AI23" s="1"/>
      <c r="AJ23" s="1"/>
      <c r="AK23" s="1"/>
      <c r="AL23" s="1"/>
    </row>
    <row r="24" spans="1:38" ht="16.5" x14ac:dyDescent="0.4">
      <c r="A24" s="16"/>
      <c r="B24" s="33"/>
      <c r="C24" s="27" t="s">
        <v>107</v>
      </c>
      <c r="D24" s="28">
        <f t="shared" ca="1" si="2"/>
        <v>0.52918831283601286</v>
      </c>
      <c r="E24" s="28">
        <f t="shared" ca="1" si="0"/>
        <v>7.3229647619689753E-2</v>
      </c>
      <c r="F24" s="47">
        <f t="shared" ca="1" si="1"/>
        <v>5.1518744719175391E-2</v>
      </c>
      <c r="G24" s="28">
        <f t="shared" ca="1" si="3"/>
        <v>1.0515187447191754</v>
      </c>
      <c r="H24" s="42"/>
      <c r="I24" s="42"/>
      <c r="K24" s="9"/>
      <c r="L24" s="9"/>
      <c r="M24" s="9"/>
      <c r="N24" s="9"/>
      <c r="O24" s="9"/>
      <c r="P24" s="9"/>
      <c r="Q24" s="9"/>
      <c r="R24" s="9"/>
      <c r="S24" s="9"/>
      <c r="T24" s="9"/>
      <c r="U24" s="9"/>
      <c r="V24" s="9"/>
      <c r="Z24" s="1"/>
      <c r="AA24" s="1"/>
      <c r="AB24" s="1"/>
      <c r="AC24" s="1"/>
      <c r="AD24" s="1"/>
      <c r="AE24" s="1"/>
      <c r="AF24" s="1"/>
      <c r="AG24" s="1"/>
      <c r="AH24" s="1"/>
      <c r="AI24" s="1"/>
      <c r="AJ24" s="1"/>
      <c r="AK24" s="1"/>
      <c r="AL24" s="1"/>
    </row>
    <row r="25" spans="1:38" ht="16.5" x14ac:dyDescent="0.4">
      <c r="A25" s="16"/>
      <c r="B25" s="33"/>
      <c r="C25" s="27" t="s">
        <v>108</v>
      </c>
      <c r="D25" s="28">
        <f t="shared" ca="1" si="2"/>
        <v>0.37262848887861888</v>
      </c>
      <c r="E25" s="28">
        <f t="shared" ca="1" si="0"/>
        <v>-0.32489970818062203</v>
      </c>
      <c r="F25" s="47">
        <f t="shared" ca="1" si="1"/>
        <v>4.1643627750475476E-2</v>
      </c>
      <c r="G25" s="28">
        <f t="shared" ca="1" si="3"/>
        <v>1.0416436277504755</v>
      </c>
      <c r="H25" s="16"/>
      <c r="I25" s="16"/>
      <c r="K25" s="9"/>
      <c r="L25" s="9"/>
      <c r="M25" s="9"/>
      <c r="N25" s="9"/>
      <c r="O25" s="9"/>
      <c r="P25" s="9"/>
      <c r="Q25" s="9"/>
      <c r="R25" s="9"/>
      <c r="S25" s="9"/>
      <c r="T25" s="9"/>
      <c r="U25" s="9"/>
      <c r="V25" s="9"/>
      <c r="Z25" s="1"/>
      <c r="AA25" s="1"/>
      <c r="AB25" s="1"/>
      <c r="AC25" s="1"/>
      <c r="AD25" s="1"/>
      <c r="AE25" s="1"/>
      <c r="AF25" s="1"/>
      <c r="AG25" s="1"/>
      <c r="AH25" s="1"/>
      <c r="AI25" s="1"/>
      <c r="AJ25" s="1"/>
      <c r="AK25" s="1"/>
      <c r="AL25" s="1"/>
    </row>
    <row r="26" spans="1:38" ht="16.5" x14ac:dyDescent="0.4">
      <c r="A26" s="16"/>
      <c r="B26" s="33"/>
      <c r="C26" s="27" t="s">
        <v>109</v>
      </c>
      <c r="D26" s="28">
        <f t="shared" ca="1" si="2"/>
        <v>0.5288878516784532</v>
      </c>
      <c r="E26" s="28">
        <f t="shared" ca="1" si="0"/>
        <v>7.2474501885915726E-2</v>
      </c>
      <c r="F26" s="47">
        <f t="shared" ca="1" si="1"/>
        <v>5.1499925905086341E-2</v>
      </c>
      <c r="G26" s="28">
        <f t="shared" ca="1" si="3"/>
        <v>1.0514999259050863</v>
      </c>
      <c r="H26" s="16"/>
      <c r="I26" s="16"/>
      <c r="K26" s="9"/>
      <c r="L26" s="9"/>
      <c r="M26" s="9"/>
      <c r="N26" s="9"/>
      <c r="O26" s="9"/>
      <c r="P26" s="9"/>
      <c r="Q26" s="9"/>
      <c r="R26" s="9"/>
      <c r="S26" s="9"/>
      <c r="T26" s="9"/>
      <c r="U26" s="9"/>
      <c r="V26" s="9"/>
      <c r="Z26" s="1"/>
      <c r="AA26" s="1"/>
      <c r="AB26" s="1"/>
      <c r="AC26" s="1"/>
      <c r="AD26" s="1"/>
      <c r="AE26" s="1"/>
      <c r="AF26" s="1"/>
      <c r="AG26" s="1"/>
      <c r="AH26" s="1"/>
      <c r="AI26" s="1"/>
      <c r="AJ26" s="1"/>
      <c r="AK26" s="1"/>
      <c r="AL26" s="1"/>
    </row>
    <row r="27" spans="1:38" ht="16.5" x14ac:dyDescent="0.4">
      <c r="A27" s="16"/>
      <c r="B27" s="33"/>
      <c r="C27" s="27" t="s">
        <v>110</v>
      </c>
      <c r="D27" s="28">
        <f t="shared" ca="1" si="2"/>
        <v>0.275359544897539</v>
      </c>
      <c r="E27" s="28">
        <f t="shared" ca="1" si="0"/>
        <v>-0.59668293246356441</v>
      </c>
      <c r="F27" s="47">
        <f t="shared" ca="1" si="1"/>
        <v>3.4955690304200981E-2</v>
      </c>
      <c r="G27" s="28">
        <f t="shared" ca="1" si="3"/>
        <v>1.034955690304201</v>
      </c>
      <c r="H27" s="16"/>
      <c r="I27" s="16"/>
      <c r="J27" s="1"/>
      <c r="K27" s="9"/>
      <c r="L27" s="9"/>
      <c r="M27" s="9"/>
      <c r="N27" s="9"/>
      <c r="O27" s="9"/>
      <c r="P27" s="9"/>
      <c r="Q27" s="9"/>
      <c r="R27" s="9"/>
      <c r="S27" s="9"/>
      <c r="T27" s="9"/>
      <c r="U27" s="9"/>
      <c r="V27" s="9"/>
      <c r="Z27" s="1"/>
      <c r="AA27" s="1"/>
      <c r="AB27" s="1"/>
      <c r="AC27" s="1"/>
      <c r="AD27" s="1"/>
      <c r="AE27" s="1"/>
      <c r="AF27" s="1"/>
      <c r="AG27" s="1"/>
      <c r="AH27" s="1"/>
      <c r="AI27" s="1"/>
      <c r="AJ27" s="1"/>
      <c r="AK27" s="1"/>
      <c r="AL27" s="1"/>
    </row>
    <row r="28" spans="1:38" ht="16.5" x14ac:dyDescent="0.4">
      <c r="A28" s="16"/>
      <c r="B28" s="33"/>
      <c r="C28" s="27" t="s">
        <v>111</v>
      </c>
      <c r="D28" s="28">
        <f t="shared" ca="1" si="2"/>
        <v>0.70887882772542898</v>
      </c>
      <c r="E28" s="28">
        <f t="shared" ca="1" si="0"/>
        <v>0.55011230906407949</v>
      </c>
      <c r="F28" s="47">
        <f t="shared" ca="1" si="1"/>
        <v>6.3470547909721065E-2</v>
      </c>
      <c r="G28" s="28">
        <f t="shared" ca="1" si="3"/>
        <v>1.0634705479097211</v>
      </c>
      <c r="H28" s="16"/>
      <c r="I28" s="16"/>
      <c r="J28" s="1"/>
      <c r="K28" s="9"/>
      <c r="L28" s="9"/>
      <c r="M28" s="9"/>
      <c r="N28" s="9"/>
      <c r="O28" s="9"/>
      <c r="P28" s="9"/>
      <c r="Q28" s="9"/>
      <c r="R28" s="9"/>
      <c r="S28" s="9"/>
      <c r="T28" s="9"/>
      <c r="U28" s="9"/>
      <c r="V28" s="9"/>
      <c r="Z28" s="1"/>
      <c r="AA28" s="1"/>
      <c r="AB28" s="1"/>
      <c r="AC28" s="1"/>
      <c r="AD28" s="1"/>
      <c r="AE28" s="1"/>
      <c r="AF28" s="1"/>
      <c r="AG28" s="1"/>
      <c r="AH28" s="1"/>
      <c r="AI28" s="1"/>
      <c r="AJ28" s="1"/>
      <c r="AK28" s="1"/>
      <c r="AL28" s="1"/>
    </row>
    <row r="29" spans="1:38" ht="16.5" x14ac:dyDescent="0.4">
      <c r="A29" s="16"/>
      <c r="B29" s="33"/>
      <c r="C29" s="27" t="s">
        <v>112</v>
      </c>
      <c r="D29" s="28">
        <f t="shared" ca="1" si="2"/>
        <v>0.38941139946680414</v>
      </c>
      <c r="E29" s="28">
        <f t="shared" ca="1" si="0"/>
        <v>-0.28085345871251544</v>
      </c>
      <c r="F29" s="47">
        <f t="shared" ca="1" si="1"/>
        <v>4.273156323099836E-2</v>
      </c>
      <c r="G29" s="28">
        <f t="shared" ca="1" si="3"/>
        <v>1.0427315632309984</v>
      </c>
      <c r="H29" s="16"/>
      <c r="I29" s="16"/>
      <c r="J29" s="1"/>
      <c r="K29" s="9"/>
      <c r="L29" s="9"/>
      <c r="M29" s="9"/>
      <c r="N29" s="9"/>
      <c r="O29" s="9"/>
      <c r="P29" s="9"/>
      <c r="Q29" s="9"/>
      <c r="R29" s="9"/>
      <c r="S29" s="9"/>
      <c r="T29" s="9"/>
      <c r="U29" s="9"/>
      <c r="V29" s="9"/>
      <c r="Z29" s="1"/>
      <c r="AA29" s="1"/>
      <c r="AB29" s="1"/>
      <c r="AC29" s="1"/>
      <c r="AD29" s="1"/>
      <c r="AE29" s="1"/>
      <c r="AF29" s="1"/>
      <c r="AG29" s="1"/>
      <c r="AH29" s="1"/>
      <c r="AI29" s="1"/>
      <c r="AJ29" s="1"/>
      <c r="AK29" s="1"/>
      <c r="AL29" s="1"/>
    </row>
    <row r="30" spans="1:38" ht="16.5" x14ac:dyDescent="0.4">
      <c r="A30" s="16"/>
      <c r="B30" s="33"/>
      <c r="C30" s="27" t="s">
        <v>113</v>
      </c>
      <c r="D30" s="28">
        <f t="shared" ca="1" si="2"/>
        <v>0.71120600934290734</v>
      </c>
      <c r="E30" s="28">
        <f t="shared" ca="1" si="0"/>
        <v>0.55691137661887657</v>
      </c>
      <c r="F30" s="47">
        <f t="shared" ca="1" si="1"/>
        <v>6.364192712911132E-2</v>
      </c>
      <c r="G30" s="28">
        <f t="shared" ca="1" si="3"/>
        <v>1.0636419271291113</v>
      </c>
      <c r="H30" s="16"/>
      <c r="I30" s="16"/>
      <c r="J30" s="1"/>
      <c r="K30" s="9"/>
      <c r="L30" s="9"/>
      <c r="M30" s="9"/>
      <c r="N30" s="9"/>
      <c r="O30" s="9"/>
      <c r="P30" s="9"/>
      <c r="Q30" s="9"/>
      <c r="R30" s="9"/>
      <c r="S30" s="9"/>
      <c r="T30" s="9"/>
      <c r="U30" s="9"/>
      <c r="V30" s="9"/>
      <c r="Z30" s="1"/>
      <c r="AA30" s="1"/>
      <c r="AB30" s="1"/>
      <c r="AC30" s="1"/>
      <c r="AD30" s="1"/>
      <c r="AE30" s="1"/>
      <c r="AF30" s="1"/>
      <c r="AG30" s="1"/>
      <c r="AH30" s="1"/>
      <c r="AI30" s="1"/>
      <c r="AJ30" s="1"/>
      <c r="AK30" s="1"/>
      <c r="AL30" s="1"/>
    </row>
    <row r="31" spans="1:38" ht="16.5" x14ac:dyDescent="0.4">
      <c r="A31" s="16"/>
      <c r="B31" s="33"/>
      <c r="C31" s="27" t="s">
        <v>114</v>
      </c>
      <c r="D31" s="28">
        <f t="shared" ca="1" si="2"/>
        <v>0.29789531588855278</v>
      </c>
      <c r="E31" s="28">
        <f t="shared" ca="1" si="0"/>
        <v>-0.53046346756213791</v>
      </c>
      <c r="F31" s="47">
        <f t="shared" ca="1" si="1"/>
        <v>3.6581226354371221E-2</v>
      </c>
      <c r="G31" s="28">
        <f t="shared" ca="1" si="3"/>
        <v>1.0365812263543712</v>
      </c>
      <c r="H31" s="16"/>
      <c r="I31" s="16"/>
      <c r="J31" s="1"/>
      <c r="K31" s="9"/>
      <c r="L31" s="9"/>
      <c r="M31" s="9"/>
      <c r="N31" s="9"/>
      <c r="O31" s="9"/>
      <c r="P31" s="9"/>
      <c r="Q31" s="9"/>
      <c r="R31" s="9"/>
      <c r="S31" s="9"/>
      <c r="T31" s="9"/>
      <c r="U31" s="9"/>
      <c r="V31" s="9"/>
      <c r="Z31" s="1"/>
      <c r="AA31" s="1"/>
      <c r="AB31" s="1"/>
      <c r="AC31" s="1"/>
      <c r="AD31" s="1"/>
      <c r="AE31" s="1"/>
      <c r="AF31" s="1"/>
      <c r="AG31" s="1"/>
      <c r="AH31" s="1"/>
      <c r="AI31" s="1"/>
      <c r="AJ31" s="1"/>
      <c r="AK31" s="1"/>
      <c r="AL31" s="1"/>
    </row>
    <row r="32" spans="1:38" ht="16.5" x14ac:dyDescent="0.4">
      <c r="A32" s="16"/>
      <c r="B32" s="33"/>
      <c r="C32" s="27" t="s">
        <v>115</v>
      </c>
      <c r="D32" s="28">
        <f t="shared" ca="1" si="2"/>
        <v>1.4122279468065546E-2</v>
      </c>
      <c r="E32" s="28">
        <f t="shared" ca="1" si="0"/>
        <v>-2.1938727496657964</v>
      </c>
      <c r="F32" s="47">
        <f t="shared" ca="1" si="1"/>
        <v>-3.4886845166149927E-3</v>
      </c>
      <c r="G32" s="28">
        <f t="shared" ca="1" si="3"/>
        <v>0.99651131548338501</v>
      </c>
      <c r="H32" s="16"/>
      <c r="I32" s="16"/>
      <c r="J32" s="1"/>
      <c r="K32" s="9"/>
      <c r="L32" s="9"/>
      <c r="M32" s="9"/>
      <c r="N32" s="9"/>
      <c r="O32" s="9"/>
      <c r="P32" s="9"/>
      <c r="Q32" s="9"/>
      <c r="R32" s="9"/>
      <c r="S32" s="9"/>
      <c r="T32" s="9"/>
      <c r="U32" s="9"/>
      <c r="V32" s="9"/>
      <c r="Z32" s="1"/>
      <c r="AA32" s="1"/>
      <c r="AB32" s="1"/>
      <c r="AC32" s="1"/>
      <c r="AD32" s="1"/>
      <c r="AE32" s="1"/>
      <c r="AF32" s="1"/>
      <c r="AG32" s="1"/>
      <c r="AH32" s="1"/>
      <c r="AI32" s="1"/>
      <c r="AJ32" s="1"/>
      <c r="AK32" s="1"/>
      <c r="AL32" s="1"/>
    </row>
    <row r="33" spans="1:38" ht="16.5" x14ac:dyDescent="0.4">
      <c r="A33" s="16"/>
      <c r="B33" s="16"/>
      <c r="C33" s="27" t="s">
        <v>116</v>
      </c>
      <c r="D33" s="28">
        <f t="shared" ca="1" si="2"/>
        <v>0.70343027372487987</v>
      </c>
      <c r="E33" s="28">
        <f t="shared" ca="1" si="0"/>
        <v>0.53429210652041792</v>
      </c>
      <c r="F33" s="47">
        <f t="shared" ca="1" si="1"/>
        <v>6.3071886279876477E-2</v>
      </c>
      <c r="G33" s="28">
        <f t="shared" ca="1" si="3"/>
        <v>1.0630718862798765</v>
      </c>
      <c r="H33" s="16"/>
      <c r="I33" s="16"/>
      <c r="J33" s="1"/>
      <c r="K33" s="9"/>
      <c r="L33" s="9"/>
      <c r="M33" s="9"/>
      <c r="N33" s="9"/>
      <c r="O33" s="9"/>
      <c r="P33" s="9"/>
      <c r="Q33" s="9"/>
      <c r="R33" s="9"/>
      <c r="S33" s="9"/>
      <c r="T33" s="9"/>
      <c r="U33" s="9"/>
      <c r="V33" s="9"/>
      <c r="Z33" s="1"/>
      <c r="AA33" s="1"/>
      <c r="AB33" s="1"/>
      <c r="AC33" s="1"/>
      <c r="AD33" s="1"/>
      <c r="AE33" s="1"/>
      <c r="AF33" s="1"/>
      <c r="AG33" s="1"/>
      <c r="AH33" s="1"/>
      <c r="AI33" s="1"/>
      <c r="AJ33" s="1"/>
      <c r="AK33" s="1"/>
      <c r="AL33" s="1"/>
    </row>
    <row r="34" spans="1:38" ht="15.5" x14ac:dyDescent="0.35">
      <c r="A34" s="16"/>
      <c r="B34" s="16"/>
      <c r="C34" s="33"/>
      <c r="D34" s="33"/>
      <c r="E34" s="33"/>
      <c r="F34" s="33"/>
      <c r="G34" s="33"/>
      <c r="H34" s="16"/>
      <c r="I34" s="16"/>
      <c r="J34" s="1"/>
      <c r="K34" s="9"/>
      <c r="L34" s="9"/>
      <c r="M34" s="9"/>
      <c r="N34" s="9"/>
      <c r="O34" s="9"/>
      <c r="P34" s="9"/>
      <c r="Q34" s="9"/>
      <c r="R34" s="9"/>
      <c r="S34" s="9"/>
      <c r="T34" s="9"/>
      <c r="U34" s="9"/>
      <c r="V34" s="9"/>
      <c r="Z34" s="1"/>
      <c r="AA34" s="1"/>
      <c r="AB34" s="1"/>
      <c r="AC34" s="1"/>
      <c r="AD34" s="1"/>
      <c r="AE34" s="1"/>
      <c r="AF34" s="1"/>
      <c r="AG34" s="1"/>
      <c r="AH34" s="1"/>
      <c r="AI34" s="1"/>
      <c r="AJ34" s="1"/>
      <c r="AK34" s="1"/>
      <c r="AL34" s="1"/>
    </row>
    <row r="35" spans="1:38" ht="15.5" x14ac:dyDescent="0.35">
      <c r="A35" s="16"/>
      <c r="B35" s="16"/>
      <c r="C35" s="33"/>
      <c r="D35" s="33"/>
      <c r="E35" s="33"/>
      <c r="F35" s="33"/>
      <c r="G35" s="33"/>
      <c r="H35" s="16"/>
      <c r="I35" s="16"/>
      <c r="J35" s="1"/>
      <c r="K35" s="9"/>
      <c r="L35" s="9"/>
      <c r="M35" s="9"/>
      <c r="N35" s="9"/>
      <c r="O35" s="9"/>
      <c r="P35" s="9"/>
      <c r="Q35" s="9"/>
      <c r="R35" s="9"/>
      <c r="S35" s="9"/>
      <c r="T35" s="9"/>
      <c r="U35" s="9"/>
      <c r="V35" s="9"/>
      <c r="Z35" s="1"/>
      <c r="AA35" s="1"/>
      <c r="AB35" s="1"/>
      <c r="AC35" s="1"/>
      <c r="AD35" s="1"/>
      <c r="AE35" s="1"/>
      <c r="AF35" s="1"/>
      <c r="AG35" s="1"/>
      <c r="AH35" s="1"/>
      <c r="AI35" s="1"/>
      <c r="AJ35" s="1"/>
      <c r="AK35" s="1"/>
      <c r="AL35" s="1"/>
    </row>
    <row r="36" spans="1:38" ht="15.5" x14ac:dyDescent="0.35">
      <c r="A36" s="16"/>
      <c r="B36" s="16"/>
      <c r="C36" s="33"/>
      <c r="D36" s="33"/>
      <c r="E36" s="33"/>
      <c r="F36" s="33"/>
      <c r="G36" s="33"/>
      <c r="H36" s="16"/>
      <c r="I36" s="16"/>
      <c r="J36" s="1"/>
      <c r="K36" s="9"/>
      <c r="L36" s="9"/>
      <c r="M36" s="9"/>
      <c r="N36" s="9"/>
      <c r="O36" s="9"/>
      <c r="P36" s="9"/>
      <c r="Q36" s="9"/>
      <c r="R36" s="9"/>
      <c r="S36" s="9"/>
      <c r="T36" s="9"/>
      <c r="U36" s="9"/>
      <c r="V36" s="9"/>
      <c r="Z36" s="1"/>
      <c r="AA36" s="1"/>
      <c r="AB36" s="1"/>
      <c r="AC36" s="1"/>
      <c r="AD36" s="1"/>
      <c r="AE36" s="1"/>
      <c r="AF36" s="1"/>
      <c r="AG36" s="1"/>
      <c r="AH36" s="1"/>
      <c r="AI36" s="1"/>
      <c r="AJ36" s="1"/>
      <c r="AK36" s="1"/>
      <c r="AL36" s="1"/>
    </row>
    <row r="37" spans="1:38" ht="15.5" x14ac:dyDescent="0.35">
      <c r="A37" s="16"/>
      <c r="B37" s="16"/>
      <c r="C37" s="33"/>
      <c r="D37" s="33"/>
      <c r="E37" s="33"/>
      <c r="F37" s="33"/>
      <c r="G37" s="33"/>
      <c r="H37" s="16"/>
      <c r="I37" s="16"/>
      <c r="J37" s="1"/>
      <c r="K37" s="9"/>
      <c r="L37" s="9"/>
      <c r="M37" s="9"/>
      <c r="N37" s="9"/>
      <c r="O37" s="9"/>
      <c r="P37" s="9"/>
      <c r="Q37" s="9"/>
      <c r="R37" s="9"/>
      <c r="S37" s="9"/>
      <c r="T37" s="9"/>
      <c r="U37" s="9"/>
      <c r="V37" s="9"/>
      <c r="Z37" s="1"/>
      <c r="AA37" s="1"/>
      <c r="AB37" s="1"/>
      <c r="AC37" s="1"/>
      <c r="AD37" s="1"/>
      <c r="AE37" s="1"/>
      <c r="AF37" s="1"/>
      <c r="AG37" s="1"/>
      <c r="AH37" s="1"/>
      <c r="AI37" s="1"/>
      <c r="AJ37" s="1"/>
      <c r="AK37" s="1"/>
      <c r="AL37" s="1"/>
    </row>
    <row r="38" spans="1:38" ht="15.5" x14ac:dyDescent="0.35">
      <c r="A38" s="16"/>
      <c r="B38" s="16"/>
      <c r="C38" s="16"/>
      <c r="D38" s="16"/>
      <c r="E38" s="16"/>
      <c r="F38" s="16"/>
      <c r="G38" s="16"/>
      <c r="H38" s="16"/>
      <c r="I38" s="16"/>
      <c r="J38" s="1"/>
      <c r="K38" s="9"/>
      <c r="L38" s="9"/>
      <c r="M38" s="9"/>
      <c r="N38" s="9"/>
      <c r="O38" s="9"/>
      <c r="P38" s="9"/>
      <c r="Q38" s="9"/>
      <c r="R38" s="9"/>
      <c r="S38" s="9"/>
      <c r="T38" s="9"/>
      <c r="U38" s="9"/>
      <c r="V38" s="9"/>
      <c r="Z38" s="1"/>
      <c r="AA38" s="1"/>
      <c r="AB38" s="1"/>
      <c r="AC38" s="1"/>
      <c r="AD38" s="1"/>
      <c r="AE38" s="1"/>
      <c r="AF38" s="1"/>
      <c r="AG38" s="1"/>
      <c r="AH38" s="1"/>
      <c r="AI38" s="1"/>
      <c r="AJ38" s="1"/>
      <c r="AK38" s="1"/>
      <c r="AL38" s="1"/>
    </row>
    <row r="39" spans="1:38" x14ac:dyDescent="0.35">
      <c r="A39" s="1"/>
      <c r="B39" s="1"/>
      <c r="C39" s="1"/>
      <c r="D39" s="1"/>
      <c r="E39" s="1"/>
      <c r="F39" s="1"/>
      <c r="G39" s="1"/>
      <c r="H39" s="1"/>
      <c r="I39" s="1"/>
      <c r="J39" s="1"/>
      <c r="K39" s="9"/>
      <c r="L39" s="9"/>
      <c r="M39" s="9"/>
      <c r="N39" s="9"/>
      <c r="O39" s="9"/>
      <c r="P39" s="9"/>
      <c r="Q39" s="9"/>
      <c r="R39" s="9"/>
      <c r="S39" s="9"/>
      <c r="T39" s="9"/>
      <c r="U39" s="9"/>
      <c r="V39" s="9"/>
      <c r="Z39" s="1"/>
      <c r="AA39" s="1"/>
      <c r="AB39" s="1"/>
      <c r="AC39" s="1"/>
      <c r="AD39" s="1"/>
      <c r="AE39" s="1"/>
      <c r="AF39" s="1"/>
      <c r="AG39" s="1"/>
      <c r="AH39" s="1"/>
      <c r="AI39" s="1"/>
      <c r="AJ39" s="1"/>
      <c r="AK39" s="1"/>
      <c r="AL39" s="1"/>
    </row>
    <row r="40" spans="1:38" x14ac:dyDescent="0.35">
      <c r="A40" s="1"/>
      <c r="B40" s="1"/>
      <c r="C40" s="1"/>
      <c r="D40" s="1"/>
      <c r="E40" s="1"/>
      <c r="F40" s="1"/>
      <c r="G40" s="1"/>
      <c r="H40" s="1"/>
      <c r="I40" s="1"/>
      <c r="J40" s="1"/>
      <c r="K40" s="9"/>
      <c r="L40" s="9"/>
      <c r="M40" s="9"/>
      <c r="N40" s="9"/>
      <c r="O40" s="9"/>
      <c r="P40" s="9"/>
      <c r="Q40" s="9"/>
      <c r="R40" s="9"/>
      <c r="S40" s="9"/>
      <c r="T40" s="9"/>
      <c r="U40" s="9"/>
      <c r="V40" s="9"/>
      <c r="Z40" s="1"/>
      <c r="AA40" s="1"/>
      <c r="AB40" s="1"/>
      <c r="AC40" s="1"/>
      <c r="AD40" s="1"/>
      <c r="AE40" s="1"/>
      <c r="AF40" s="1"/>
      <c r="AG40" s="1"/>
      <c r="AH40" s="1"/>
      <c r="AI40" s="1"/>
      <c r="AJ40" s="1"/>
      <c r="AK40" s="1"/>
      <c r="AL40" s="1"/>
    </row>
    <row r="41" spans="1:38" x14ac:dyDescent="0.35">
      <c r="A41" s="1"/>
      <c r="B41" s="1"/>
      <c r="C41" s="1"/>
      <c r="D41" s="1"/>
      <c r="E41" s="1"/>
      <c r="F41" s="1"/>
      <c r="G41" s="1"/>
      <c r="H41" s="1"/>
      <c r="I41" s="1"/>
      <c r="J41" s="1"/>
      <c r="K41" s="9"/>
      <c r="L41" s="9"/>
      <c r="M41" s="9"/>
      <c r="N41" s="9"/>
      <c r="O41" s="9"/>
      <c r="P41" s="9"/>
      <c r="Q41" s="9"/>
      <c r="R41" s="9"/>
      <c r="S41" s="9"/>
      <c r="T41" s="9"/>
      <c r="U41" s="9"/>
      <c r="V41" s="9"/>
      <c r="Z41" s="1"/>
      <c r="AA41" s="1"/>
      <c r="AB41" s="1"/>
      <c r="AC41" s="1"/>
      <c r="AD41" s="1"/>
      <c r="AE41" s="1"/>
      <c r="AF41" s="1"/>
      <c r="AG41" s="1"/>
      <c r="AH41" s="1"/>
      <c r="AI41" s="1"/>
      <c r="AJ41" s="1"/>
      <c r="AK41" s="1"/>
      <c r="AL41" s="1"/>
    </row>
    <row r="42" spans="1:38" x14ac:dyDescent="0.35">
      <c r="A42" s="1"/>
      <c r="B42" s="1"/>
      <c r="C42" s="1"/>
      <c r="D42" s="1"/>
      <c r="E42" s="1"/>
      <c r="F42" s="1"/>
      <c r="G42" s="1"/>
      <c r="H42" s="1"/>
      <c r="I42" s="1"/>
      <c r="J42" s="1"/>
      <c r="K42" s="9"/>
      <c r="L42" s="9"/>
      <c r="M42" s="9"/>
      <c r="N42" s="9"/>
      <c r="O42" s="9"/>
      <c r="P42" s="9"/>
      <c r="Q42" s="9"/>
      <c r="R42" s="9"/>
      <c r="S42" s="9"/>
      <c r="T42" s="9"/>
      <c r="U42" s="9"/>
      <c r="V42" s="9"/>
      <c r="Z42" s="1"/>
      <c r="AA42" s="1"/>
      <c r="AB42" s="1"/>
      <c r="AC42" s="1"/>
      <c r="AD42" s="1"/>
      <c r="AE42" s="1"/>
      <c r="AF42" s="1"/>
      <c r="AG42" s="1"/>
      <c r="AH42" s="1"/>
      <c r="AI42" s="1"/>
      <c r="AJ42" s="1"/>
      <c r="AK42" s="1"/>
      <c r="AL42" s="1"/>
    </row>
    <row r="43" spans="1:38" x14ac:dyDescent="0.35">
      <c r="A43" s="1"/>
      <c r="B43" s="1"/>
      <c r="C43" s="1"/>
      <c r="D43" s="1"/>
      <c r="E43" s="1"/>
      <c r="F43" s="1"/>
      <c r="G43" s="1"/>
      <c r="H43" s="1"/>
      <c r="I43" s="1"/>
      <c r="J43" s="1"/>
      <c r="K43" s="9"/>
      <c r="L43" s="9"/>
      <c r="M43" s="9"/>
      <c r="N43" s="9"/>
      <c r="O43" s="9"/>
      <c r="P43" s="9"/>
      <c r="Q43" s="9"/>
      <c r="R43" s="9"/>
      <c r="S43" s="9"/>
      <c r="T43" s="9"/>
      <c r="U43" s="9"/>
      <c r="V43" s="9"/>
      <c r="Z43" s="1"/>
      <c r="AA43" s="1"/>
      <c r="AB43" s="1"/>
      <c r="AC43" s="1"/>
      <c r="AD43" s="1"/>
      <c r="AE43" s="1"/>
      <c r="AF43" s="1"/>
      <c r="AG43" s="1"/>
      <c r="AH43" s="1"/>
      <c r="AI43" s="1"/>
      <c r="AJ43" s="1"/>
      <c r="AK43" s="1"/>
      <c r="AL43" s="1"/>
    </row>
    <row r="44" spans="1:38" x14ac:dyDescent="0.35">
      <c r="A44" s="1"/>
      <c r="B44" s="1"/>
      <c r="C44" s="1"/>
      <c r="D44" s="1"/>
      <c r="E44" s="1"/>
      <c r="F44" s="1"/>
      <c r="G44" s="1"/>
      <c r="H44" s="1"/>
      <c r="I44" s="1"/>
      <c r="J44" s="1"/>
      <c r="K44" s="9"/>
      <c r="L44" s="9"/>
      <c r="M44" s="9"/>
      <c r="N44" s="9"/>
      <c r="O44" s="9"/>
      <c r="P44" s="9"/>
      <c r="Q44" s="9"/>
      <c r="R44" s="9"/>
      <c r="S44" s="9"/>
      <c r="T44" s="9"/>
      <c r="U44" s="9"/>
      <c r="V44" s="9"/>
      <c r="Z44" s="1"/>
      <c r="AA44" s="1"/>
      <c r="AB44" s="1"/>
      <c r="AC44" s="1"/>
      <c r="AD44" s="1"/>
      <c r="AE44" s="1"/>
      <c r="AF44" s="1"/>
      <c r="AG44" s="1"/>
      <c r="AH44" s="1"/>
      <c r="AI44" s="1"/>
      <c r="AJ44" s="1"/>
      <c r="AK44" s="1"/>
      <c r="AL44" s="1"/>
    </row>
    <row r="45" spans="1:38" x14ac:dyDescent="0.35">
      <c r="A45" s="1"/>
      <c r="B45" s="1"/>
      <c r="C45" s="1"/>
      <c r="D45" s="1"/>
      <c r="E45" s="1"/>
      <c r="F45" s="1"/>
      <c r="G45" s="1"/>
      <c r="H45" s="1"/>
      <c r="I45" s="1"/>
      <c r="J45" s="1"/>
      <c r="K45" s="9"/>
      <c r="L45" s="9"/>
      <c r="M45" s="9"/>
      <c r="N45" s="9"/>
      <c r="O45" s="9"/>
      <c r="P45" s="9"/>
      <c r="Q45" s="9"/>
      <c r="R45" s="9"/>
      <c r="S45" s="9"/>
      <c r="T45" s="9"/>
      <c r="U45" s="9"/>
      <c r="V45" s="9"/>
      <c r="Z45" s="1"/>
      <c r="AA45" s="1"/>
      <c r="AB45" s="1"/>
      <c r="AC45" s="1"/>
      <c r="AD45" s="1"/>
      <c r="AE45" s="1"/>
      <c r="AF45" s="1"/>
      <c r="AG45" s="1"/>
      <c r="AH45" s="1"/>
      <c r="AI45" s="1"/>
      <c r="AJ45" s="1"/>
      <c r="AK45" s="1"/>
      <c r="AL45" s="1"/>
    </row>
    <row r="46" spans="1:38" x14ac:dyDescent="0.35">
      <c r="A46" s="1"/>
      <c r="B46" s="1"/>
      <c r="C46" s="1"/>
      <c r="D46" s="1"/>
      <c r="E46" s="1"/>
      <c r="F46" s="1"/>
      <c r="G46" s="1"/>
      <c r="H46" s="1"/>
      <c r="I46" s="1"/>
      <c r="J46" s="1"/>
      <c r="K46" s="9"/>
      <c r="L46" s="9"/>
      <c r="M46" s="9"/>
      <c r="N46" s="9"/>
      <c r="O46" s="9"/>
      <c r="P46" s="9"/>
      <c r="Q46" s="9"/>
      <c r="R46" s="9"/>
      <c r="S46" s="9"/>
      <c r="T46" s="9"/>
      <c r="U46" s="9"/>
      <c r="V46" s="9"/>
      <c r="Z46" s="1"/>
      <c r="AA46" s="1"/>
      <c r="AB46" s="1"/>
      <c r="AC46" s="1"/>
      <c r="AD46" s="1"/>
      <c r="AE46" s="1"/>
      <c r="AF46" s="1"/>
      <c r="AG46" s="1"/>
      <c r="AH46" s="1"/>
      <c r="AI46" s="1"/>
      <c r="AJ46" s="1"/>
      <c r="AK46" s="1"/>
      <c r="AL46" s="1"/>
    </row>
    <row r="47" spans="1:38" x14ac:dyDescent="0.35">
      <c r="A47" s="1"/>
      <c r="B47" s="1"/>
      <c r="C47" s="1"/>
      <c r="D47" s="1"/>
      <c r="E47" s="1"/>
      <c r="F47" s="1"/>
      <c r="G47" s="1"/>
      <c r="H47" s="1"/>
      <c r="I47" s="1"/>
      <c r="J47" s="1"/>
      <c r="K47" s="9"/>
      <c r="L47" s="9"/>
      <c r="M47" s="9"/>
      <c r="N47" s="9"/>
      <c r="O47" s="9"/>
      <c r="P47" s="9"/>
      <c r="Q47" s="9"/>
      <c r="R47" s="9"/>
      <c r="S47" s="9"/>
      <c r="T47" s="9"/>
      <c r="U47" s="9"/>
      <c r="V47" s="9"/>
      <c r="Z47" s="1"/>
      <c r="AA47" s="1"/>
      <c r="AB47" s="1"/>
      <c r="AC47" s="1"/>
      <c r="AD47" s="1"/>
      <c r="AE47" s="1"/>
      <c r="AF47" s="1"/>
      <c r="AG47" s="1"/>
      <c r="AH47" s="1"/>
      <c r="AI47" s="1"/>
      <c r="AJ47" s="1"/>
      <c r="AK47" s="1"/>
      <c r="AL47" s="1"/>
    </row>
    <row r="48" spans="1:38" x14ac:dyDescent="0.35">
      <c r="A48" s="1"/>
      <c r="B48" s="1"/>
      <c r="C48" s="1"/>
      <c r="D48" s="1"/>
      <c r="E48" s="1"/>
      <c r="F48" s="1"/>
      <c r="G48" s="1"/>
      <c r="H48" s="1"/>
      <c r="I48" s="1"/>
      <c r="J48" s="1"/>
      <c r="K48" s="9"/>
      <c r="L48" s="9"/>
      <c r="M48" s="9"/>
      <c r="N48" s="9"/>
      <c r="O48" s="9"/>
      <c r="P48" s="9"/>
      <c r="Q48" s="9"/>
      <c r="R48" s="9"/>
      <c r="S48" s="9"/>
      <c r="T48" s="9"/>
      <c r="U48" s="9"/>
      <c r="V48" s="9"/>
      <c r="Z48" s="1"/>
      <c r="AA48" s="1"/>
      <c r="AB48" s="1"/>
      <c r="AC48" s="1"/>
      <c r="AD48" s="1"/>
      <c r="AE48" s="1"/>
      <c r="AF48" s="1"/>
      <c r="AG48" s="1"/>
      <c r="AH48" s="1"/>
      <c r="AI48" s="1"/>
      <c r="AJ48" s="1"/>
      <c r="AK48" s="1"/>
      <c r="AL48" s="1"/>
    </row>
    <row r="49" spans="1:38" x14ac:dyDescent="0.35">
      <c r="A49" s="1"/>
      <c r="B49" s="1"/>
      <c r="C49" s="1"/>
      <c r="D49" s="1"/>
      <c r="E49" s="1"/>
      <c r="F49" s="1"/>
      <c r="G49" s="1"/>
      <c r="H49" s="1"/>
      <c r="I49" s="1"/>
      <c r="J49" s="1"/>
      <c r="K49" s="9"/>
      <c r="L49" s="9"/>
      <c r="M49" s="9"/>
      <c r="N49" s="9"/>
      <c r="O49" s="9"/>
      <c r="P49" s="9"/>
      <c r="Q49" s="9"/>
      <c r="R49" s="9"/>
      <c r="S49" s="9"/>
      <c r="T49" s="9"/>
      <c r="U49" s="9"/>
      <c r="V49" s="9"/>
      <c r="Z49" s="1"/>
      <c r="AA49" s="1"/>
      <c r="AB49" s="1"/>
      <c r="AC49" s="1"/>
      <c r="AD49" s="1"/>
      <c r="AE49" s="1"/>
      <c r="AF49" s="1"/>
      <c r="AG49" s="1"/>
      <c r="AH49" s="1"/>
      <c r="AI49" s="1"/>
      <c r="AJ49" s="1"/>
      <c r="AK49" s="1"/>
      <c r="AL49" s="1"/>
    </row>
    <row r="50" spans="1:38" x14ac:dyDescent="0.35">
      <c r="A50" s="1"/>
      <c r="B50" s="1"/>
      <c r="C50" s="1"/>
      <c r="D50" s="1"/>
      <c r="E50" s="1"/>
      <c r="F50" s="1"/>
      <c r="G50" s="1"/>
      <c r="H50" s="1"/>
      <c r="I50" s="1"/>
      <c r="J50" s="1"/>
      <c r="K50" s="9"/>
      <c r="L50" s="9"/>
      <c r="M50" s="9"/>
      <c r="N50" s="9"/>
      <c r="O50" s="9"/>
      <c r="P50" s="9"/>
      <c r="Q50" s="9"/>
      <c r="R50" s="9"/>
      <c r="S50" s="9"/>
      <c r="T50" s="9"/>
      <c r="U50" s="9"/>
      <c r="V50" s="9"/>
      <c r="W50" s="1"/>
      <c r="X50" s="1"/>
      <c r="Y50" s="1"/>
      <c r="Z50" s="1"/>
      <c r="AA50" s="1"/>
      <c r="AB50" s="1"/>
      <c r="AC50" s="1"/>
      <c r="AD50" s="1"/>
      <c r="AE50" s="1"/>
      <c r="AF50" s="1"/>
      <c r="AG50" s="1"/>
      <c r="AH50" s="1"/>
      <c r="AI50" s="1"/>
      <c r="AJ50" s="1"/>
      <c r="AK50" s="1"/>
      <c r="AL50" s="1"/>
    </row>
    <row r="51" spans="1:38"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38"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1:38"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spans="1:38"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row>
    <row r="58" spans="1:38"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row>
    <row r="60" spans="1:38"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row>
    <row r="61" spans="1:38"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row>
    <row r="62" spans="1:38"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row>
    <row r="63" spans="1:38"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row>
    <row r="64" spans="1:38"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spans="1:38"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row>
    <row r="66" spans="1:38"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row>
    <row r="67" spans="1:38"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row>
    <row r="68" spans="1:38"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row>
    <row r="69" spans="1:38"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row>
    <row r="72" spans="1:38"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row>
    <row r="73" spans="1:38"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row>
    <row r="74" spans="1:38"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row>
    <row r="75" spans="1:38"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row>
    <row r="76" spans="1:38"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row>
    <row r="77" spans="1:38"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row>
    <row r="78" spans="1:38"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row>
    <row r="79" spans="1:38"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row>
    <row r="80" spans="1:38"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row>
    <row r="81" spans="1:38"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row>
    <row r="82" spans="1:38"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row>
    <row r="83" spans="1:38"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row>
    <row r="84" spans="1:38"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row>
    <row r="85" spans="1:38"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row>
    <row r="86" spans="1:38"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38"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38"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row>
    <row r="89" spans="1:38"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row>
    <row r="90" spans="1:38"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row>
    <row r="91" spans="1:38"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row>
    <row r="92" spans="1:38"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row>
    <row r="93" spans="1:38"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row>
    <row r="94" spans="1:38"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row>
    <row r="95" spans="1:38"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row>
    <row r="96" spans="1:38"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row>
    <row r="97" spans="1:38"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row>
    <row r="98" spans="1:38"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row>
    <row r="99" spans="1:38"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row>
    <row r="100" spans="1:38"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1:38"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1:38"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1:38"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1:38"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1:38"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1:38"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1:38"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1:38"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1:38"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1:38"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1:38"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1:38"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row r="125" spans="1:38"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row>
    <row r="126" spans="1:38"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row>
    <row r="127" spans="1:38"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row>
    <row r="128" spans="1:38"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row>
    <row r="129" spans="1:38"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row>
    <row r="130" spans="1:38"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row>
    <row r="131" spans="1:38"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row>
    <row r="132" spans="1:38"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row>
    <row r="133" spans="1:38"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row>
    <row r="134" spans="1:38"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row>
    <row r="135" spans="1:38"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row>
    <row r="136" spans="1:38"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row>
    <row r="137" spans="1:38"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row>
    <row r="138" spans="1:38"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row>
    <row r="139" spans="1:38"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row>
    <row r="140" spans="1:38"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row>
    <row r="141" spans="1:38"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row>
    <row r="142" spans="1:38"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row>
    <row r="143" spans="1:38"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row>
    <row r="144" spans="1:38"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row>
    <row r="145" spans="1:38"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row>
    <row r="146" spans="1:38"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row>
    <row r="147" spans="1:38"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row>
    <row r="148" spans="1:38"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row>
    <row r="149" spans="1:38"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row>
    <row r="150" spans="1:38"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row>
    <row r="151" spans="1:38"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row>
    <row r="152" spans="1:38"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row>
    <row r="153" spans="1:38"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row>
    <row r="154" spans="1:38"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row>
    <row r="155" spans="1:38"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row>
    <row r="156" spans="1:38"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row>
    <row r="157" spans="1:38"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row>
    <row r="158" spans="1:38"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row>
    <row r="159" spans="1:38"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row>
    <row r="160" spans="1:38"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row>
    <row r="161" spans="1:38"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row>
    <row r="162" spans="1:38"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row>
    <row r="163" spans="1:38"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row>
    <row r="164" spans="1:38"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row>
    <row r="165" spans="1:38"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row>
    <row r="166" spans="1:38"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row>
    <row r="167" spans="1:38"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row>
    <row r="168" spans="1:38"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row>
    <row r="169" spans="1:38"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row>
    <row r="170" spans="1:38"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row>
    <row r="171" spans="1:38"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row>
    <row r="172" spans="1:38"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row>
    <row r="173" spans="1:38"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row>
    <row r="174" spans="1:38"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row>
    <row r="175" spans="1:38"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row>
    <row r="176" spans="1:38"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row>
    <row r="177" spans="1:38"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row>
    <row r="178" spans="1:38"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row>
    <row r="179" spans="1:38"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row>
    <row r="180" spans="1:38"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row>
    <row r="181" spans="1:38"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1:38"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1:38"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1:38"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1:38"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1:38"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1:38"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1:38"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1:38"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1:38"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1:38"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1:38"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1:38"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1:38"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1:38"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1:38"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1:38"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1:38"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1:38"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1:38"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1:38"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1:38"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1:38"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1:38"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row>
    <row r="205" spans="1:38"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row>
    <row r="206" spans="1:38"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row>
    <row r="207" spans="1:38"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row>
    <row r="208" spans="1:38"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row>
    <row r="209" spans="1:38"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row>
    <row r="210" spans="1:38"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row>
    <row r="211" spans="1:38"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row>
    <row r="212" spans="1:38"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row>
    <row r="213" spans="1:38"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row>
    <row r="214" spans="1:38"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row>
    <row r="215" spans="1:38"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row>
    <row r="216" spans="1:38"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row>
    <row r="217" spans="1:38"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row>
    <row r="218" spans="1:38"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row>
    <row r="219" spans="1:38"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row>
    <row r="220" spans="1:38"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row>
    <row r="221" spans="1:38"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row>
    <row r="222" spans="1:38"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row>
    <row r="223" spans="1:38"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row>
    <row r="224" spans="1:38"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row>
    <row r="225" spans="1:38"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row>
    <row r="226" spans="1:38"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row>
    <row r="227" spans="1:38"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row>
    <row r="228" spans="1:38"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row>
    <row r="229" spans="1:38"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row>
    <row r="230" spans="1:38"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row>
    <row r="231" spans="1:38"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row>
    <row r="232" spans="1:38"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row>
    <row r="233" spans="1:38"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row>
    <row r="234" spans="1:38"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row>
    <row r="235" spans="1:38"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row>
    <row r="236" spans="1:38"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row>
    <row r="237" spans="1:38"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row>
    <row r="238" spans="1:38"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row>
    <row r="239" spans="1:38"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row>
    <row r="240" spans="1:38"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row>
    <row r="241" spans="1:38"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row>
    <row r="242" spans="1:38"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row>
    <row r="243" spans="1:38"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row>
    <row r="244" spans="1:38"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row>
    <row r="245" spans="1:38"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row>
    <row r="246" spans="1:38"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row>
    <row r="247" spans="1:38"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row>
    <row r="248" spans="1:38"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row>
    <row r="249" spans="1:38"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row>
    <row r="250" spans="1:38"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row>
    <row r="251" spans="1:38"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row>
    <row r="252" spans="1:38"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row>
    <row r="253" spans="1:38"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row>
    <row r="254" spans="1:38"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row>
    <row r="255" spans="1:38"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row>
    <row r="256" spans="1:38"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row>
    <row r="257" spans="1:38"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row>
    <row r="258" spans="1:38"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row>
    <row r="259" spans="1:38"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row>
    <row r="260" spans="1:38"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row>
    <row r="261" spans="1:38"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row>
    <row r="262" spans="1:38"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row>
    <row r="263" spans="1:38"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row>
    <row r="264" spans="1:38"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row>
    <row r="265" spans="1:38"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row>
    <row r="266" spans="1:38"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row>
    <row r="267" spans="1:38"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row>
    <row r="268" spans="1:38"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row>
    <row r="269" spans="1:38"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row>
    <row r="270" spans="1:38"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row>
    <row r="271" spans="1:38"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row>
    <row r="272" spans="1:38"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row>
    <row r="273" spans="1:38"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row>
    <row r="274" spans="1:38"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row>
    <row r="275" spans="1:38"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row>
    <row r="276" spans="1:38"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row>
    <row r="277" spans="1:38"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row>
    <row r="278" spans="1:38"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row>
    <row r="279" spans="1:38"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row>
    <row r="280" spans="1:38"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row>
    <row r="281" spans="1:38"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row>
    <row r="282" spans="1:38"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row>
    <row r="283" spans="1:38"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row>
    <row r="284" spans="1:38"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row>
    <row r="285" spans="1:38"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row>
    <row r="286" spans="1:38"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row>
    <row r="287" spans="1:38"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row>
    <row r="288" spans="1:38"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row>
    <row r="289" spans="1:38"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row>
    <row r="290" spans="1:38"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row>
    <row r="291" spans="1:38"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row>
    <row r="292" spans="1:38"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row>
    <row r="293" spans="1:38"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row>
    <row r="294" spans="1:38"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row>
    <row r="295" spans="1:38"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row>
    <row r="296" spans="1:38"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row>
    <row r="297" spans="1:38"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row>
    <row r="298" spans="1:38"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row>
    <row r="299" spans="1:38"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row>
    <row r="300" spans="1:38"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row>
    <row r="301" spans="1:38"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row>
    <row r="302" spans="1:38"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row>
    <row r="303" spans="1:38"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row>
    <row r="304" spans="1:38"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row>
    <row r="305" spans="1:38"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row>
    <row r="306" spans="1:38"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row>
    <row r="307" spans="1:38"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row>
    <row r="308" spans="1:38"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row>
    <row r="309" spans="1:38"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row>
    <row r="310" spans="1:38"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row>
    <row r="311" spans="1:38"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row>
    <row r="312" spans="1:38"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row>
    <row r="313" spans="1:38"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row>
    <row r="314" spans="1:38"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row>
    <row r="315" spans="1:38"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row>
    <row r="316" spans="1:38"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row>
    <row r="317" spans="1:38"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row>
    <row r="318" spans="1:38"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row>
    <row r="319" spans="1:38"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row>
    <row r="320" spans="1:38"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row>
    <row r="321" spans="1:38"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row>
    <row r="322" spans="1:38"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row>
    <row r="323" spans="1:38"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row>
    <row r="324" spans="1:38"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row>
    <row r="325" spans="1:38"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row>
    <row r="326" spans="1:38"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row>
    <row r="327" spans="1:38"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row>
    <row r="328" spans="1:38"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row>
    <row r="329" spans="1:38"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row>
    <row r="330" spans="1:38"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row>
    <row r="331" spans="1:38"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row>
    <row r="332" spans="1:38"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row>
    <row r="333" spans="1:38"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row>
    <row r="334" spans="1:38"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row>
    <row r="335" spans="1:38"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row>
    <row r="336" spans="1:38"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row>
    <row r="337" spans="1:38"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row>
    <row r="338" spans="1:38"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row>
    <row r="339" spans="1:38"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row>
    <row r="340" spans="1:38"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row>
    <row r="341" spans="1:38"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row>
    <row r="342" spans="1:38"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row>
    <row r="343" spans="1:38"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row>
    <row r="344" spans="1:38"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row>
    <row r="345" spans="1:38"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row>
    <row r="346" spans="1:38"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row>
    <row r="347" spans="1:38"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row>
    <row r="348" spans="1:38"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row>
    <row r="349" spans="1:38"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row>
    <row r="350" spans="1:38"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row>
    <row r="351" spans="1:38"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row>
    <row r="352" spans="1:38"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row>
    <row r="353" spans="1:38"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row>
    <row r="354" spans="1:38"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row>
    <row r="355" spans="1:38"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row>
    <row r="356" spans="1:38"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row>
    <row r="357" spans="1:38"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row>
    <row r="358" spans="1:38"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row>
    <row r="359" spans="1:38"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row>
    <row r="360" spans="1:38"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row>
    <row r="361" spans="1:38"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row>
    <row r="362" spans="1:38"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row>
    <row r="363" spans="1:38"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row>
    <row r="364" spans="1:38"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row>
    <row r="365" spans="1:38"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row>
    <row r="366" spans="1:38"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row>
    <row r="367" spans="1:38"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row>
    <row r="368" spans="1:38"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row>
    <row r="369" spans="1:38"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row>
    <row r="370" spans="1:38"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row>
    <row r="371" spans="1:38"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row>
    <row r="372" spans="1:38"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row>
    <row r="373" spans="1:38"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row>
    <row r="374" spans="1:38"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row>
    <row r="375" spans="1:38"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row>
    <row r="376" spans="1:38"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row>
    <row r="377" spans="1:38"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row>
    <row r="378" spans="1:38"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row>
    <row r="379" spans="1:38"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row>
    <row r="380" spans="1:38"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row>
    <row r="381" spans="1:38"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row>
    <row r="382" spans="1:38"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row>
    <row r="383" spans="1:38"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row>
    <row r="384" spans="1:38"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row>
    <row r="385" spans="1:38"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row>
    <row r="386" spans="1:38"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row>
    <row r="387" spans="1:38"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row>
    <row r="388" spans="1:38"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row>
    <row r="389" spans="1:38"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row>
    <row r="390" spans="1:38"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row>
    <row r="391" spans="1:38"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row>
    <row r="392" spans="1:38"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row>
    <row r="393" spans="1:38"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row>
    <row r="394" spans="1:38"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row>
    <row r="395" spans="1:38"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row>
    <row r="396" spans="1:38"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row>
    <row r="397" spans="1:38"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row>
    <row r="398" spans="1:38"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row>
    <row r="399" spans="1:38"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row>
    <row r="400" spans="1:38"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row>
    <row r="401" spans="1:38"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row>
    <row r="402" spans="1:38"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row>
    <row r="403" spans="1:38"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row>
    <row r="404" spans="1:38"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row>
    <row r="405" spans="1:38"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row>
    <row r="406" spans="1:38"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row>
    <row r="407" spans="1:38"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row>
    <row r="408" spans="1:38"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row>
    <row r="409" spans="1:38"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row>
    <row r="410" spans="1:38"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row>
    <row r="411" spans="1:38"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row>
    <row r="412" spans="1:38"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row>
    <row r="413" spans="1:38"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row>
    <row r="414" spans="1:38"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row>
    <row r="415" spans="1:38"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row>
    <row r="416" spans="1:38"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row>
    <row r="417" spans="1:38"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row>
    <row r="418" spans="1:38"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row>
    <row r="419" spans="1:38"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row>
    <row r="420" spans="1:38"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row>
    <row r="421" spans="1:38"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row>
    <row r="422" spans="1:38"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row>
    <row r="423" spans="1:38"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row>
    <row r="424" spans="1:38"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row>
    <row r="425" spans="1:38"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row>
    <row r="426" spans="1:38"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row>
    <row r="427" spans="1:38"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row>
    <row r="428" spans="1:38"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row>
    <row r="429" spans="1:38"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row>
    <row r="430" spans="1:38"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row>
    <row r="431" spans="1:38"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row>
    <row r="432" spans="1:38"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row>
    <row r="433" spans="1:38"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row>
    <row r="434" spans="1:38"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row>
    <row r="435" spans="1:38"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row>
    <row r="436" spans="1:38"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row>
    <row r="437" spans="1:38"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row>
    <row r="438" spans="1:38"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row>
    <row r="439" spans="1:38"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row>
    <row r="440" spans="1:38"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row>
    <row r="441" spans="1:38"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row>
    <row r="442" spans="1:38"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row>
    <row r="443" spans="1:38"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row>
    <row r="444" spans="1:38"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row>
    <row r="445" spans="1:38"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row>
    <row r="446" spans="1:38"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row>
    <row r="447" spans="1:38"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row>
    <row r="448" spans="1:38"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row>
    <row r="449" spans="1:38"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row>
    <row r="450" spans="1:38"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row>
    <row r="451" spans="1:38"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row>
    <row r="452" spans="1:38"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row>
    <row r="453" spans="1:38"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row>
    <row r="454" spans="1:38"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row>
    <row r="455" spans="1:38"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row>
    <row r="456" spans="1:38"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row>
    <row r="457" spans="1:38"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row>
    <row r="458" spans="1:38"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row>
    <row r="459" spans="1:38"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row>
    <row r="460" spans="1:38"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row>
    <row r="461" spans="1:38"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row>
    <row r="462" spans="1:38"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row>
    <row r="463" spans="1:38"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row>
    <row r="464" spans="1:38"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row>
    <row r="465" spans="1:38"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row>
    <row r="466" spans="1:38"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row>
    <row r="467" spans="1:38"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row>
    <row r="468" spans="1:38"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row>
    <row r="469" spans="1:38"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row>
    <row r="470" spans="1:38"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row>
    <row r="471" spans="1:38"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row>
    <row r="472" spans="1:38"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row>
    <row r="473" spans="1:38"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row>
    <row r="474" spans="1:38"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row>
    <row r="475" spans="1:38"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row>
    <row r="476" spans="1:38"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row>
    <row r="477" spans="1:38"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row>
    <row r="478" spans="1:38"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row>
    <row r="479" spans="1:38"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row>
    <row r="480" spans="1:38"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row>
    <row r="481" spans="1:38"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row>
    <row r="482" spans="1:38"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row>
    <row r="483" spans="1:38"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row>
    <row r="484" spans="1:38"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row>
    <row r="485" spans="1:38"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row>
    <row r="486" spans="1:38"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row>
    <row r="487" spans="1:38"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row>
    <row r="488" spans="1:38"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row>
    <row r="489" spans="1:38"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row>
    <row r="490" spans="1:38"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row>
    <row r="491" spans="1:38"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row>
    <row r="492" spans="1:38"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row>
    <row r="493" spans="1:38"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row>
    <row r="494" spans="1:38"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row>
    <row r="495" spans="1:38"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row>
    <row r="496" spans="1:38"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row>
    <row r="497" spans="1:38"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row>
    <row r="498" spans="1:38"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row>
    <row r="499" spans="1:38"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row>
    <row r="500" spans="1:38"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row>
    <row r="501" spans="1:38"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row>
    <row r="502" spans="1:38"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row>
    <row r="503" spans="1:38"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row>
    <row r="504" spans="1:38"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row>
    <row r="505" spans="1:38"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row>
    <row r="506" spans="1:38"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row>
    <row r="507" spans="1:38"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row>
    <row r="508" spans="1:38"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row>
    <row r="509" spans="1:38"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row>
    <row r="510" spans="1:38"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row>
    <row r="511" spans="1:38"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row>
    <row r="512" spans="1:38"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row>
    <row r="513" spans="1:38"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row>
    <row r="514" spans="1:38"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row>
    <row r="515" spans="1:38"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row>
    <row r="516" spans="1:38"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row>
    <row r="517" spans="1:38"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row>
    <row r="518" spans="1:38"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row>
    <row r="519" spans="1:38"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row>
    <row r="520" spans="1:38"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row>
    <row r="521" spans="1:38"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row>
    <row r="522" spans="1:38"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row>
    <row r="523" spans="1:38"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row>
    <row r="524" spans="1:38"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row>
    <row r="525" spans="1:38"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row>
    <row r="526" spans="1:38"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row>
    <row r="527" spans="1:38"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row>
    <row r="528" spans="1:38"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row>
    <row r="529" spans="1:38"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row>
    <row r="530" spans="1:38"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row>
    <row r="531" spans="1:38"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row>
    <row r="532" spans="1:38"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row>
    <row r="533" spans="1:38"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row>
    <row r="534" spans="1:38"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row>
    <row r="535" spans="1:38"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row>
    <row r="536" spans="1:38"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row>
    <row r="537" spans="1:38"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row>
    <row r="538" spans="1:38"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row>
    <row r="539" spans="1:38"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row>
    <row r="540" spans="1:38"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row>
    <row r="541" spans="1:38"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row>
    <row r="542" spans="1:38"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row>
    <row r="543" spans="1:38"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row>
    <row r="544" spans="1:38"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row>
    <row r="545" spans="1:38"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row>
    <row r="546" spans="1:38"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row>
    <row r="547" spans="1:38"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row>
    <row r="548" spans="1:38"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row>
    <row r="549" spans="1:38"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row>
    <row r="550" spans="1:38"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row>
    <row r="551" spans="1:38"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row>
    <row r="552" spans="1:38"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row>
    <row r="553" spans="1:38"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row>
    <row r="554" spans="1:38"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row>
    <row r="555" spans="1:38"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row>
    <row r="556" spans="1:38"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row>
    <row r="557" spans="1:38"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row>
    <row r="558" spans="1:38"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row>
    <row r="559" spans="1:38"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row>
    <row r="560" spans="1:38"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row>
    <row r="561" spans="1:38"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row>
    <row r="562" spans="1:38"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row>
    <row r="563" spans="1:38"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row>
    <row r="564" spans="1:38"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row>
    <row r="565" spans="1:38"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row>
    <row r="566" spans="1:38"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row>
    <row r="567" spans="1:38"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row>
    <row r="568" spans="1:38"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row>
    <row r="569" spans="1:38"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row>
    <row r="570" spans="1:38"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row>
    <row r="571" spans="1:38"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row>
    <row r="572" spans="1:38"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row>
    <row r="573" spans="1:38"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row>
    <row r="574" spans="1:38"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row>
    <row r="575" spans="1:38"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row>
    <row r="576" spans="1:38"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row>
    <row r="577" spans="1:38"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row>
    <row r="578" spans="1:38"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row>
    <row r="579" spans="1:38"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row>
    <row r="580" spans="1:38"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row>
    <row r="581" spans="1:38"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row>
    <row r="582" spans="1:38"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row>
    <row r="583" spans="1:38"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row>
    <row r="584" spans="1:38"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row>
    <row r="585" spans="1:38"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row>
    <row r="586" spans="1:38"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row>
    <row r="587" spans="1:38"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row>
    <row r="588" spans="1:38"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row>
    <row r="589" spans="1:38"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row>
    <row r="590" spans="1:38"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row>
    <row r="591" spans="1:38"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row>
    <row r="592" spans="1:38"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row>
    <row r="593" spans="1:38"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row>
    <row r="594" spans="1:38"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row>
    <row r="595" spans="1:38"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row>
    <row r="596" spans="1:38"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row>
    <row r="597" spans="1:38"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row>
    <row r="598" spans="1:38"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row>
    <row r="599" spans="1:38"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row>
    <row r="600" spans="1:38"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row>
    <row r="601" spans="1:38"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row>
    <row r="602" spans="1:38"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row>
    <row r="603" spans="1:38"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row>
    <row r="604" spans="1:38"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row>
    <row r="605" spans="1:38"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row>
    <row r="606" spans="1:38"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row>
    <row r="607" spans="1:38"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row>
    <row r="608" spans="1:38"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row>
    <row r="609" spans="1:38"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row>
    <row r="610" spans="1:38"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row>
    <row r="611" spans="1:38"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row>
    <row r="612" spans="1:38"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row>
    <row r="613" spans="1:38"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row>
    <row r="614" spans="1:38"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row>
    <row r="615" spans="1:38"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row>
    <row r="616" spans="1:38"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row>
    <row r="617" spans="1:38"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row>
    <row r="618" spans="1:38"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row>
    <row r="619" spans="1:38"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row>
    <row r="620" spans="1:38"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row>
    <row r="621" spans="1:38"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row>
    <row r="622" spans="1:38"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row>
    <row r="623" spans="1:38"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row>
    <row r="624" spans="1:38"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row>
    <row r="625" spans="1:38"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row>
    <row r="626" spans="1:38"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row>
    <row r="627" spans="1:38"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row>
    <row r="628" spans="1:38"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row>
    <row r="629" spans="1:38"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row>
    <row r="630" spans="1:38"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row>
    <row r="631" spans="1:38"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row>
    <row r="632" spans="1:38"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row>
    <row r="633" spans="1:38"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row>
    <row r="634" spans="1:38"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row>
    <row r="635" spans="1:38"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row>
    <row r="636" spans="1:38"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row>
    <row r="637" spans="1:38"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row>
    <row r="638" spans="1:38"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row>
    <row r="639" spans="1:38"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row>
    <row r="640" spans="1:38"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row>
    <row r="641" spans="1:38"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row>
    <row r="642" spans="1:38"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row>
    <row r="643" spans="1:38"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row>
    <row r="644" spans="1:38"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row>
    <row r="645" spans="1:38"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row>
    <row r="646" spans="1:38"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row>
    <row r="647" spans="1:38"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row>
    <row r="648" spans="1:38"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row>
    <row r="649" spans="1:38"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row>
    <row r="650" spans="1:38"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row>
    <row r="651" spans="1:38"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row>
    <row r="652" spans="1:38"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row>
    <row r="653" spans="1:38"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row>
    <row r="654" spans="1:38"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row>
    <row r="655" spans="1:38"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row>
    <row r="656" spans="1:38"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row>
    <row r="657" spans="1:38"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row>
    <row r="658" spans="1:38"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row>
    <row r="659" spans="1:38"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row>
    <row r="660" spans="1:38"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row>
    <row r="661" spans="1:38"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row>
    <row r="662" spans="1:38"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row>
    <row r="663" spans="1:38"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row>
    <row r="664" spans="1:38"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row>
    <row r="665" spans="1:38"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row>
    <row r="666" spans="1:38"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row>
    <row r="667" spans="1:38"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row>
    <row r="668" spans="1:38"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row>
    <row r="669" spans="1:38"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row>
    <row r="670" spans="1:38"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row>
    <row r="671" spans="1:38"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row>
    <row r="672" spans="1:38"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row>
    <row r="673" spans="1:38"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row>
    <row r="674" spans="1:38"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row>
    <row r="675" spans="1:38"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row>
    <row r="676" spans="1:38"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row>
    <row r="677" spans="1:38"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row>
    <row r="678" spans="1:38"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row>
    <row r="679" spans="1:38"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row>
    <row r="680" spans="1:38"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row>
    <row r="681" spans="1:38"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row>
    <row r="682" spans="1:38"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row>
    <row r="683" spans="1:38"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row>
    <row r="684" spans="1:38"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row>
    <row r="685" spans="1:38"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row>
    <row r="686" spans="1:38"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row>
    <row r="687" spans="1:38"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row>
    <row r="688" spans="1:38"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row>
    <row r="689" spans="1:38"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row>
    <row r="690" spans="1:38"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row>
    <row r="691" spans="1:38"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row>
    <row r="692" spans="1:38"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row>
    <row r="693" spans="1:38"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row>
    <row r="694" spans="1:38"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row>
    <row r="695" spans="1:38"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row>
    <row r="696" spans="1:38"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row>
    <row r="697" spans="1:38"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row>
    <row r="698" spans="1:38"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row>
    <row r="699" spans="1:38"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row>
    <row r="700" spans="1:38"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row>
    <row r="701" spans="1:38"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row>
    <row r="702" spans="1:38"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row>
    <row r="703" spans="1:38"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row>
    <row r="704" spans="1:38"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row>
    <row r="705" spans="1:38"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row>
    <row r="706" spans="1:38"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row>
    <row r="707" spans="1:38"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row>
    <row r="708" spans="1:38"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row>
    <row r="709" spans="1:38"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row>
    <row r="710" spans="1:38"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row>
    <row r="711" spans="1:38"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row>
    <row r="712" spans="1:38"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row>
    <row r="713" spans="1:38"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row>
    <row r="714" spans="1:38"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row>
    <row r="715" spans="1:38"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row>
    <row r="716" spans="1:38"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row>
    <row r="717" spans="1:38"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row>
    <row r="718" spans="1:38"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row>
    <row r="719" spans="1:38"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row>
    <row r="720" spans="1:38"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row>
    <row r="721" spans="1:38"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row>
    <row r="722" spans="1:38"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row>
    <row r="723" spans="1:38"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row>
    <row r="724" spans="1:38"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row>
    <row r="725" spans="1:38"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row>
    <row r="726" spans="1:38"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row>
    <row r="727" spans="1:38"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row>
    <row r="728" spans="1:38"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row>
    <row r="729" spans="1:38"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row>
    <row r="730" spans="1:38"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row>
    <row r="731" spans="1:38"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row>
    <row r="732" spans="1:38"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row>
    <row r="733" spans="1:38"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row>
    <row r="734" spans="1:38"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row>
    <row r="735" spans="1:38"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row>
    <row r="736" spans="1:38"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row>
    <row r="737" spans="1:38"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row>
    <row r="738" spans="1:38"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row>
    <row r="739" spans="1:38"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row>
    <row r="740" spans="1:38"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row>
    <row r="741" spans="1:38"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row>
    <row r="742" spans="1:38"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row>
    <row r="743" spans="1:38"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row>
    <row r="744" spans="1:38"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row>
    <row r="745" spans="1:38"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row>
    <row r="746" spans="1:38"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row>
    <row r="747" spans="1:38"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row>
    <row r="748" spans="1:38"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row>
    <row r="749" spans="1:38"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row>
    <row r="750" spans="1:38"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row>
    <row r="751" spans="1:38"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row>
    <row r="752" spans="1:38"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row>
    <row r="753" spans="1:38"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row>
    <row r="754" spans="1:38"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row>
    <row r="755" spans="1:38"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row>
    <row r="756" spans="1:38"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row>
    <row r="757" spans="1:38"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row>
    <row r="758" spans="1:38"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row>
    <row r="759" spans="1:38"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row>
    <row r="760" spans="1:38"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row>
    <row r="761" spans="1:38"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row>
    <row r="762" spans="1:38"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row>
    <row r="763" spans="1:38"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row>
    <row r="764" spans="1:38"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row>
    <row r="765" spans="1:38"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row>
    <row r="766" spans="1:38"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row>
    <row r="767" spans="1:38"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row>
    <row r="768" spans="1:38"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row>
    <row r="769" spans="1:38"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row>
    <row r="770" spans="1:38"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row>
    <row r="771" spans="1:38"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row>
    <row r="772" spans="1:38"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row>
    <row r="773" spans="1:38"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row>
    <row r="774" spans="1:38"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row>
    <row r="775" spans="1:38"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row>
    <row r="776" spans="1:38"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row>
    <row r="777" spans="1:38"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row>
    <row r="778" spans="1:38"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row>
    <row r="779" spans="1:38"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row>
    <row r="780" spans="1:38"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row>
    <row r="781" spans="1:38"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row>
    <row r="782" spans="1:38"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row>
    <row r="783" spans="1:38"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row>
    <row r="784" spans="1:38"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row>
    <row r="785" spans="1:38"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row>
    <row r="786" spans="1:38"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row>
    <row r="787" spans="1:38"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row>
    <row r="788" spans="1:38"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row>
    <row r="789" spans="1:38"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row>
    <row r="790" spans="1:38"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row>
    <row r="791" spans="1:38"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row>
    <row r="792" spans="1:38"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row>
    <row r="793" spans="1:38"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row>
    <row r="794" spans="1:38"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row>
    <row r="795" spans="1:38"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row>
    <row r="796" spans="1:38"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row>
    <row r="797" spans="1:38"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row>
    <row r="798" spans="1:38"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row>
    <row r="799" spans="1:38"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row>
    <row r="800" spans="1:38"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row>
    <row r="801" spans="1:38"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row>
    <row r="802" spans="1:38"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row>
    <row r="803" spans="1:38"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row>
    <row r="804" spans="1:38"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row>
    <row r="805" spans="1:38"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row>
    <row r="806" spans="1:38"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row>
    <row r="807" spans="1:38"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row>
    <row r="808" spans="1:38"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row>
    <row r="809" spans="1:38"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row>
    <row r="810" spans="1:38"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row>
    <row r="811" spans="1:38"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row>
    <row r="812" spans="1:38"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row>
    <row r="813" spans="1:38"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row>
    <row r="814" spans="1:38"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row>
    <row r="815" spans="1:38"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row>
    <row r="816" spans="1:38"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row>
    <row r="817" spans="1:38"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row>
    <row r="818" spans="1:38"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row>
    <row r="819" spans="1:38"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row>
    <row r="820" spans="1:38"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row>
    <row r="821" spans="1:38"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row>
    <row r="822" spans="1:38"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row>
    <row r="823" spans="1:38"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row>
    <row r="824" spans="1:38"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row>
    <row r="825" spans="1:38"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row>
    <row r="826" spans="1:38"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row>
    <row r="827" spans="1:38"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row>
    <row r="828" spans="1:38"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row>
    <row r="829" spans="1:38"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row>
    <row r="830" spans="1:38"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row>
    <row r="831" spans="1:38"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row>
    <row r="832" spans="1:38"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row>
    <row r="833" spans="1:38"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row>
    <row r="834" spans="1:38"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row>
    <row r="835" spans="1:38"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row>
    <row r="836" spans="1:38"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row>
    <row r="837" spans="1:38"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row>
    <row r="838" spans="1:38"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row>
    <row r="839" spans="1:38"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row>
    <row r="840" spans="1:38"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row>
    <row r="841" spans="1:38"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row>
    <row r="842" spans="1:38"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row>
    <row r="843" spans="1:38"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row>
    <row r="844" spans="1:38"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row>
    <row r="845" spans="1:38"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row>
    <row r="846" spans="1:38"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row>
    <row r="847" spans="1:38"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row>
    <row r="848" spans="1:38"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row>
    <row r="849" spans="1:38"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row>
    <row r="850" spans="1:38"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row>
    <row r="851" spans="1:38"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row>
    <row r="852" spans="1:38"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row>
    <row r="853" spans="1:38"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row>
    <row r="854" spans="1:38"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row>
    <row r="855" spans="1:38"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row>
    <row r="856" spans="1:38"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row>
    <row r="857" spans="1:38"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row>
    <row r="858" spans="1:38"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row>
    <row r="859" spans="1:38"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row>
    <row r="860" spans="1:38"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row>
    <row r="861" spans="1:38"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row>
    <row r="862" spans="1:38"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row>
    <row r="863" spans="1:38"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row>
    <row r="864" spans="1:38"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row>
    <row r="865" spans="1:38"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row>
    <row r="866" spans="1:38"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row>
    <row r="867" spans="1:38"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row>
    <row r="868" spans="1:38"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row>
    <row r="869" spans="1:38"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row>
    <row r="870" spans="1:38"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row>
    <row r="871" spans="1:38"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row>
    <row r="872" spans="1:38"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row>
    <row r="873" spans="1:38"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row>
    <row r="874" spans="1:38"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row>
    <row r="875" spans="1:38"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row>
    <row r="876" spans="1:38"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row>
    <row r="877" spans="1:38"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row>
    <row r="878" spans="1:38"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row>
    <row r="879" spans="1:38"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row>
    <row r="880" spans="1:38"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row>
    <row r="881" spans="1:38"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row>
    <row r="882" spans="1:38"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row>
    <row r="883" spans="1:38"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row>
    <row r="884" spans="1:38"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row>
    <row r="885" spans="1:38"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row>
    <row r="886" spans="1:38"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row>
    <row r="887" spans="1:38"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row>
    <row r="888" spans="1:38"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row>
    <row r="889" spans="1:38"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row>
    <row r="890" spans="1:38"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row>
    <row r="891" spans="1:38"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row>
    <row r="892" spans="1:38"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row>
    <row r="893" spans="1:38"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row>
    <row r="894" spans="1:38"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row>
    <row r="895" spans="1:38"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row>
    <row r="896" spans="1:38"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row>
    <row r="897" spans="1:38"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row>
    <row r="898" spans="1:38"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row>
    <row r="899" spans="1:38"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row>
    <row r="900" spans="1:38"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row>
    <row r="901" spans="1:38"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row>
    <row r="902" spans="1:38"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row>
    <row r="903" spans="1:38"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row>
    <row r="904" spans="1:38"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row>
    <row r="905" spans="1:38"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row>
    <row r="906" spans="1:38"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row>
    <row r="907" spans="1:38"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row>
    <row r="908" spans="1:38"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row>
    <row r="909" spans="1:38"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row>
    <row r="910" spans="1:38"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row>
    <row r="911" spans="1:38"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row>
    <row r="912" spans="1:38"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row>
    <row r="913" spans="1:38"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row>
    <row r="914" spans="1:38"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row>
    <row r="915" spans="1:38"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row>
    <row r="916" spans="1:38"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row>
    <row r="917" spans="1:38"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row>
    <row r="918" spans="1:38"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row>
    <row r="919" spans="1:38"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row>
    <row r="920" spans="1:38"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row>
    <row r="921" spans="1:38"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row>
    <row r="922" spans="1:38"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row>
    <row r="923" spans="1:38"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row>
    <row r="924" spans="1:38"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row>
    <row r="925" spans="1:38"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row>
    <row r="926" spans="1:38"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row>
    <row r="927" spans="1:38"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row>
    <row r="928" spans="1:38"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row>
    <row r="929" spans="1:38"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row>
    <row r="930" spans="1:38"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row>
    <row r="931" spans="1:38"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row>
    <row r="932" spans="1:38"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row>
    <row r="933" spans="1:38"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row>
    <row r="934" spans="1:38"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row>
    <row r="935" spans="1:38"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row>
    <row r="936" spans="1:38"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row>
    <row r="937" spans="1:38"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row>
    <row r="938" spans="1:38"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row>
    <row r="939" spans="1:38"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row>
    <row r="940" spans="1:38"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row>
    <row r="941" spans="1:38"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row>
    <row r="942" spans="1:38"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row>
    <row r="943" spans="1:38"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row>
    <row r="944" spans="1:38"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row>
    <row r="945" spans="1:38"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row>
    <row r="946" spans="1:38"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row>
    <row r="947" spans="1:38"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row>
    <row r="948" spans="1:38"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row>
    <row r="949" spans="1:38"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row>
  </sheetData>
  <mergeCells count="3">
    <mergeCell ref="E6:G6"/>
    <mergeCell ref="E7:G7"/>
    <mergeCell ref="E5:G5"/>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A1586-B0B1-4D22-834F-950CCF2A1ED6}">
  <dimension ref="A1:CY949"/>
  <sheetViews>
    <sheetView topLeftCell="E3" zoomScale="68" zoomScaleNormal="88" workbookViewId="0">
      <selection activeCell="Q15" sqref="Q15"/>
    </sheetView>
  </sheetViews>
  <sheetFormatPr defaultRowHeight="14.5" x14ac:dyDescent="0.35"/>
  <cols>
    <col min="1" max="1" width="12.1796875" customWidth="1"/>
    <col min="2" max="2" width="21.08984375" bestFit="1" customWidth="1"/>
    <col min="3" max="3" width="17.7265625" bestFit="1" customWidth="1"/>
    <col min="4" max="4" width="17.1796875" customWidth="1"/>
    <col min="5" max="5" width="26.7265625" customWidth="1"/>
    <col min="6" max="6" width="30.54296875" customWidth="1"/>
    <col min="7" max="7" width="9.54296875" customWidth="1"/>
    <col min="8" max="8" width="16.90625" bestFit="1" customWidth="1"/>
    <col min="9" max="9" width="34.54296875" bestFit="1" customWidth="1"/>
    <col min="10" max="10" width="18.90625" bestFit="1" customWidth="1"/>
    <col min="11" max="11" width="22.54296875" customWidth="1"/>
    <col min="12" max="12" width="11.36328125" customWidth="1"/>
    <col min="13" max="13" width="24.90625" bestFit="1" customWidth="1"/>
    <col min="14" max="14" width="17.81640625" bestFit="1" customWidth="1"/>
    <col min="15" max="15" width="36.81640625" bestFit="1" customWidth="1"/>
    <col min="16" max="16" width="50.1796875" bestFit="1" customWidth="1"/>
    <col min="17" max="17" width="34.1796875" bestFit="1" customWidth="1"/>
    <col min="18" max="18" width="31.26953125" bestFit="1" customWidth="1"/>
    <col min="19" max="19" width="20.08984375" bestFit="1" customWidth="1"/>
    <col min="20" max="20" width="18.08984375" bestFit="1" customWidth="1"/>
    <col min="21" max="21" width="8" customWidth="1"/>
    <col min="22" max="22" width="10.08984375" bestFit="1" customWidth="1"/>
    <col min="23" max="23" width="17.7265625" bestFit="1" customWidth="1"/>
    <col min="24" max="24" width="34.7265625" bestFit="1" customWidth="1"/>
    <col min="25" max="25" width="50.1796875" bestFit="1" customWidth="1"/>
    <col min="26" max="26" width="34.36328125" bestFit="1" customWidth="1"/>
    <col min="27" max="27" width="31.26953125" bestFit="1" customWidth="1"/>
    <col min="28" max="28" width="20.08984375" customWidth="1"/>
    <col min="29" max="29" width="18.08984375" bestFit="1" customWidth="1"/>
    <col min="31" max="31" width="7.7265625" bestFit="1" customWidth="1"/>
    <col min="32" max="32" width="16.54296875" bestFit="1" customWidth="1"/>
    <col min="33" max="33" width="36.81640625" bestFit="1" customWidth="1"/>
    <col min="34" max="34" width="50.1796875" bestFit="1" customWidth="1"/>
    <col min="35" max="35" width="30" bestFit="1" customWidth="1"/>
    <col min="36" max="36" width="31.26953125" bestFit="1" customWidth="1"/>
    <col min="37" max="37" width="18.26953125" bestFit="1" customWidth="1"/>
    <col min="38" max="38" width="16.54296875" bestFit="1" customWidth="1"/>
    <col min="40" max="40" width="7.81640625" bestFit="1" customWidth="1"/>
    <col min="41" max="41" width="16.54296875" bestFit="1" customWidth="1"/>
    <col min="42" max="42" width="36.81640625" bestFit="1" customWidth="1"/>
    <col min="43" max="43" width="50.1796875" bestFit="1" customWidth="1"/>
    <col min="44" max="44" width="29.26953125" bestFit="1" customWidth="1"/>
    <col min="45" max="45" width="31.26953125" bestFit="1" customWidth="1"/>
    <col min="46" max="46" width="18.26953125" bestFit="1" customWidth="1"/>
    <col min="47" max="47" width="16.54296875" bestFit="1" customWidth="1"/>
    <col min="49" max="49" width="7.7265625" bestFit="1" customWidth="1"/>
    <col min="50" max="50" width="16.54296875" bestFit="1" customWidth="1"/>
    <col min="51" max="51" width="36.81640625" bestFit="1" customWidth="1"/>
    <col min="52" max="52" width="50.1796875" bestFit="1" customWidth="1"/>
    <col min="53" max="53" width="31.6328125" bestFit="1" customWidth="1"/>
    <col min="54" max="54" width="31.26953125" bestFit="1" customWidth="1"/>
    <col min="55" max="55" width="18.26953125" bestFit="1" customWidth="1"/>
    <col min="56" max="56" width="16.54296875" bestFit="1" customWidth="1"/>
    <col min="58" max="58" width="7.81640625" bestFit="1" customWidth="1"/>
    <col min="59" max="59" width="16.54296875" bestFit="1" customWidth="1"/>
    <col min="60" max="60" width="36.81640625" bestFit="1" customWidth="1"/>
    <col min="61" max="61" width="50.1796875" bestFit="1" customWidth="1"/>
    <col min="62" max="62" width="28.6328125" bestFit="1" customWidth="1"/>
    <col min="63" max="63" width="31.26953125" bestFit="1" customWidth="1"/>
    <col min="64" max="64" width="18.26953125" bestFit="1" customWidth="1"/>
    <col min="65" max="65" width="16.54296875" bestFit="1" customWidth="1"/>
    <col min="67" max="67" width="8.81640625" bestFit="1" customWidth="1"/>
    <col min="68" max="68" width="16.54296875" bestFit="1" customWidth="1"/>
    <col min="69" max="69" width="36.81640625" bestFit="1" customWidth="1"/>
    <col min="70" max="70" width="50.1796875" bestFit="1" customWidth="1"/>
    <col min="71" max="71" width="27.1796875" bestFit="1" customWidth="1"/>
    <col min="72" max="72" width="31.26953125" bestFit="1" customWidth="1"/>
    <col min="73" max="73" width="18.26953125" bestFit="1" customWidth="1"/>
    <col min="74" max="74" width="16.54296875" bestFit="1" customWidth="1"/>
    <col min="76" max="76" width="8.81640625" bestFit="1" customWidth="1"/>
    <col min="77" max="77" width="16.54296875" bestFit="1" customWidth="1"/>
    <col min="78" max="78" width="36.81640625" bestFit="1" customWidth="1"/>
    <col min="79" max="79" width="50.1796875" bestFit="1" customWidth="1"/>
    <col min="80" max="80" width="28.453125" bestFit="1" customWidth="1"/>
    <col min="81" max="81" width="31.26953125" bestFit="1" customWidth="1"/>
    <col min="82" max="82" width="18.26953125" bestFit="1" customWidth="1"/>
    <col min="83" max="83" width="16.54296875" bestFit="1" customWidth="1"/>
    <col min="85" max="85" width="8.90625" bestFit="1" customWidth="1"/>
    <col min="86" max="86" width="16.54296875" bestFit="1" customWidth="1"/>
    <col min="87" max="87" width="36.81640625" bestFit="1" customWidth="1"/>
    <col min="88" max="88" width="50.1796875" bestFit="1" customWidth="1"/>
    <col min="89" max="89" width="28" bestFit="1" customWidth="1"/>
    <col min="90" max="90" width="31.26953125" bestFit="1" customWidth="1"/>
    <col min="91" max="91" width="17.81640625" bestFit="1" customWidth="1"/>
    <col min="92" max="92" width="16.54296875" bestFit="1" customWidth="1"/>
    <col min="94" max="94" width="8.81640625" bestFit="1" customWidth="1"/>
    <col min="95" max="95" width="16.54296875" bestFit="1" customWidth="1"/>
    <col min="96" max="96" width="36.81640625" bestFit="1" customWidth="1"/>
    <col min="97" max="97" width="50.1796875" bestFit="1" customWidth="1"/>
    <col min="98" max="98" width="28.08984375" bestFit="1" customWidth="1"/>
    <col min="99" max="99" width="31.26953125" bestFit="1" customWidth="1"/>
    <col min="100" max="100" width="18.26953125" bestFit="1" customWidth="1"/>
    <col min="101" max="101" width="16.54296875" bestFit="1" customWidth="1"/>
  </cols>
  <sheetData>
    <row r="1" spans="1:103" ht="15.5" x14ac:dyDescent="0.35">
      <c r="A1" s="31" t="s">
        <v>1</v>
      </c>
      <c r="B1" s="32" t="s">
        <v>0</v>
      </c>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row>
    <row r="2" spans="1:103" ht="15.5" x14ac:dyDescent="0.3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row>
    <row r="3" spans="1:103" ht="15.5" x14ac:dyDescent="0.35">
      <c r="A3" s="16"/>
      <c r="B3" s="40"/>
      <c r="C3" s="40"/>
      <c r="D3" s="41"/>
      <c r="E3" s="41"/>
      <c r="F3" s="41"/>
      <c r="G3" s="16"/>
      <c r="H3" s="33"/>
      <c r="I3" s="33"/>
      <c r="J3" s="33"/>
      <c r="K3" s="33"/>
      <c r="L3" s="16"/>
      <c r="M3" s="16"/>
      <c r="N3" s="16"/>
      <c r="O3" s="16"/>
      <c r="P3" s="16"/>
      <c r="Q3" s="16"/>
      <c r="R3" s="16"/>
      <c r="S3" s="16"/>
      <c r="T3" s="16"/>
      <c r="U3" s="16"/>
      <c r="V3" s="16"/>
      <c r="W3" s="16"/>
      <c r="X3" s="16"/>
      <c r="Y3" s="16"/>
      <c r="Z3" s="16"/>
      <c r="AA3" s="16"/>
      <c r="AB3" s="16"/>
      <c r="AC3" s="16"/>
      <c r="AD3" s="16"/>
      <c r="AE3" s="16"/>
      <c r="AF3" s="16"/>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row>
    <row r="4" spans="1:103" ht="17.5" x14ac:dyDescent="0.45">
      <c r="A4" s="16"/>
      <c r="B4" s="34"/>
      <c r="C4" s="15"/>
      <c r="D4" s="16"/>
      <c r="E4" s="16"/>
      <c r="F4" s="16"/>
      <c r="G4" s="16"/>
      <c r="H4" s="33"/>
      <c r="I4" s="33"/>
      <c r="J4" s="33"/>
      <c r="K4" s="33"/>
      <c r="L4" s="14"/>
      <c r="M4" s="110" t="s">
        <v>117</v>
      </c>
      <c r="N4" s="110"/>
      <c r="O4" s="110"/>
      <c r="P4" s="110"/>
      <c r="Q4" s="110"/>
      <c r="R4" s="110"/>
      <c r="S4" s="110"/>
      <c r="T4" s="110"/>
      <c r="U4" s="33"/>
      <c r="V4" s="111" t="s">
        <v>118</v>
      </c>
      <c r="W4" s="112"/>
      <c r="X4" s="112"/>
      <c r="Y4" s="112"/>
      <c r="Z4" s="112"/>
      <c r="AA4" s="112"/>
      <c r="AB4" s="112"/>
      <c r="AC4" s="113"/>
      <c r="AD4" s="16"/>
      <c r="AE4" s="110" t="s">
        <v>119</v>
      </c>
      <c r="AF4" s="110"/>
      <c r="AG4" s="110"/>
      <c r="AH4" s="110"/>
      <c r="AI4" s="110"/>
      <c r="AJ4" s="110"/>
      <c r="AK4" s="110"/>
      <c r="AL4" s="110"/>
      <c r="AM4" s="33"/>
      <c r="AN4" s="110" t="s">
        <v>120</v>
      </c>
      <c r="AO4" s="110"/>
      <c r="AP4" s="110"/>
      <c r="AQ4" s="110"/>
      <c r="AR4" s="110"/>
      <c r="AS4" s="110"/>
      <c r="AT4" s="110"/>
      <c r="AU4" s="110"/>
      <c r="AV4" s="33"/>
      <c r="AW4" s="110" t="s">
        <v>121</v>
      </c>
      <c r="AX4" s="110"/>
      <c r="AY4" s="110"/>
      <c r="AZ4" s="110"/>
      <c r="BA4" s="110"/>
      <c r="BB4" s="110"/>
      <c r="BC4" s="110"/>
      <c r="BD4" s="110"/>
      <c r="BE4" s="33"/>
      <c r="BF4" s="111" t="s">
        <v>122</v>
      </c>
      <c r="BG4" s="112"/>
      <c r="BH4" s="112"/>
      <c r="BI4" s="112"/>
      <c r="BJ4" s="112"/>
      <c r="BK4" s="112"/>
      <c r="BL4" s="112"/>
      <c r="BM4" s="113"/>
      <c r="BN4" s="33"/>
      <c r="BO4" s="110" t="s">
        <v>123</v>
      </c>
      <c r="BP4" s="110"/>
      <c r="BQ4" s="110"/>
      <c r="BR4" s="110"/>
      <c r="BS4" s="110"/>
      <c r="BT4" s="110"/>
      <c r="BU4" s="110"/>
      <c r="BV4" s="110"/>
      <c r="BW4" s="33"/>
      <c r="BX4" s="110" t="s">
        <v>124</v>
      </c>
      <c r="BY4" s="110"/>
      <c r="BZ4" s="110"/>
      <c r="CA4" s="110"/>
      <c r="CB4" s="110"/>
      <c r="CC4" s="110"/>
      <c r="CD4" s="110"/>
      <c r="CE4" s="110"/>
      <c r="CF4" s="33"/>
      <c r="CG4" s="110" t="s">
        <v>125</v>
      </c>
      <c r="CH4" s="110"/>
      <c r="CI4" s="110"/>
      <c r="CJ4" s="110"/>
      <c r="CK4" s="110"/>
      <c r="CL4" s="110"/>
      <c r="CM4" s="110"/>
      <c r="CN4" s="110"/>
      <c r="CO4" s="33"/>
      <c r="CP4" s="110" t="s">
        <v>126</v>
      </c>
      <c r="CQ4" s="110"/>
      <c r="CR4" s="110"/>
      <c r="CS4" s="110"/>
      <c r="CT4" s="110"/>
      <c r="CU4" s="110"/>
      <c r="CV4" s="110"/>
      <c r="CW4" s="110"/>
      <c r="CX4" s="33"/>
      <c r="CY4" s="33"/>
    </row>
    <row r="5" spans="1:103" ht="15.5" x14ac:dyDescent="0.35">
      <c r="A5" s="16"/>
      <c r="B5" s="33"/>
      <c r="C5" s="33"/>
      <c r="D5" s="33"/>
      <c r="E5" s="33"/>
      <c r="F5" s="33"/>
      <c r="G5" s="33"/>
      <c r="H5" s="33"/>
      <c r="I5" s="33"/>
      <c r="J5" s="33"/>
      <c r="K5" s="33"/>
      <c r="L5" s="14"/>
      <c r="M5" s="106" t="s">
        <v>10</v>
      </c>
      <c r="N5" s="108" t="s">
        <v>15</v>
      </c>
      <c r="O5" s="49" t="s">
        <v>53</v>
      </c>
      <c r="P5" s="48" t="s">
        <v>85</v>
      </c>
      <c r="Q5" s="108" t="s">
        <v>77</v>
      </c>
      <c r="R5" s="49" t="s">
        <v>87</v>
      </c>
      <c r="S5" s="108" t="s">
        <v>24</v>
      </c>
      <c r="T5" s="108" t="s">
        <v>25</v>
      </c>
      <c r="U5" s="33"/>
      <c r="V5" s="106" t="s">
        <v>10</v>
      </c>
      <c r="W5" s="108" t="s">
        <v>15</v>
      </c>
      <c r="X5" s="49" t="s">
        <v>53</v>
      </c>
      <c r="Y5" s="48" t="s">
        <v>85</v>
      </c>
      <c r="Z5" s="108" t="s">
        <v>77</v>
      </c>
      <c r="AA5" s="49" t="s">
        <v>87</v>
      </c>
      <c r="AB5" s="108" t="s">
        <v>24</v>
      </c>
      <c r="AC5" s="108" t="s">
        <v>25</v>
      </c>
      <c r="AD5" s="16"/>
      <c r="AE5" s="106" t="s">
        <v>10</v>
      </c>
      <c r="AF5" s="108" t="s">
        <v>15</v>
      </c>
      <c r="AG5" s="49" t="s">
        <v>53</v>
      </c>
      <c r="AH5" s="48" t="s">
        <v>85</v>
      </c>
      <c r="AI5" s="108" t="s">
        <v>77</v>
      </c>
      <c r="AJ5" s="49" t="s">
        <v>87</v>
      </c>
      <c r="AK5" s="108" t="s">
        <v>24</v>
      </c>
      <c r="AL5" s="108" t="s">
        <v>25</v>
      </c>
      <c r="AM5" s="33"/>
      <c r="AN5" s="106" t="s">
        <v>10</v>
      </c>
      <c r="AO5" s="108" t="s">
        <v>15</v>
      </c>
      <c r="AP5" s="49" t="s">
        <v>53</v>
      </c>
      <c r="AQ5" s="48" t="s">
        <v>85</v>
      </c>
      <c r="AR5" s="108" t="s">
        <v>77</v>
      </c>
      <c r="AS5" s="49" t="s">
        <v>87</v>
      </c>
      <c r="AT5" s="108" t="s">
        <v>24</v>
      </c>
      <c r="AU5" s="108" t="s">
        <v>25</v>
      </c>
      <c r="AV5" s="33"/>
      <c r="AW5" s="106" t="s">
        <v>10</v>
      </c>
      <c r="AX5" s="108" t="s">
        <v>15</v>
      </c>
      <c r="AY5" s="49" t="s">
        <v>53</v>
      </c>
      <c r="AZ5" s="48" t="s">
        <v>85</v>
      </c>
      <c r="BA5" s="108" t="s">
        <v>77</v>
      </c>
      <c r="BB5" s="49" t="s">
        <v>87</v>
      </c>
      <c r="BC5" s="108" t="s">
        <v>24</v>
      </c>
      <c r="BD5" s="108" t="s">
        <v>25</v>
      </c>
      <c r="BE5" s="33"/>
      <c r="BF5" s="106" t="s">
        <v>10</v>
      </c>
      <c r="BG5" s="108" t="s">
        <v>15</v>
      </c>
      <c r="BH5" s="49" t="s">
        <v>53</v>
      </c>
      <c r="BI5" s="48" t="s">
        <v>85</v>
      </c>
      <c r="BJ5" s="108" t="s">
        <v>77</v>
      </c>
      <c r="BK5" s="49" t="s">
        <v>87</v>
      </c>
      <c r="BL5" s="108" t="s">
        <v>24</v>
      </c>
      <c r="BM5" s="108" t="s">
        <v>25</v>
      </c>
      <c r="BN5" s="33"/>
      <c r="BO5" s="106" t="s">
        <v>10</v>
      </c>
      <c r="BP5" s="108" t="s">
        <v>15</v>
      </c>
      <c r="BQ5" s="49" t="s">
        <v>53</v>
      </c>
      <c r="BR5" s="48" t="s">
        <v>85</v>
      </c>
      <c r="BS5" s="108" t="s">
        <v>77</v>
      </c>
      <c r="BT5" s="49" t="s">
        <v>87</v>
      </c>
      <c r="BU5" s="108" t="s">
        <v>24</v>
      </c>
      <c r="BV5" s="108" t="s">
        <v>25</v>
      </c>
      <c r="BW5" s="33"/>
      <c r="BX5" s="106" t="s">
        <v>10</v>
      </c>
      <c r="BY5" s="108" t="s">
        <v>15</v>
      </c>
      <c r="BZ5" s="49" t="s">
        <v>53</v>
      </c>
      <c r="CA5" s="48" t="s">
        <v>85</v>
      </c>
      <c r="CB5" s="108" t="s">
        <v>77</v>
      </c>
      <c r="CC5" s="49" t="s">
        <v>87</v>
      </c>
      <c r="CD5" s="108" t="s">
        <v>24</v>
      </c>
      <c r="CE5" s="108" t="s">
        <v>25</v>
      </c>
      <c r="CF5" s="33"/>
      <c r="CG5" s="106" t="s">
        <v>10</v>
      </c>
      <c r="CH5" s="108" t="s">
        <v>15</v>
      </c>
      <c r="CI5" s="49" t="s">
        <v>53</v>
      </c>
      <c r="CJ5" s="48" t="s">
        <v>85</v>
      </c>
      <c r="CK5" s="108" t="s">
        <v>77</v>
      </c>
      <c r="CL5" s="49" t="s">
        <v>87</v>
      </c>
      <c r="CM5" s="108" t="s">
        <v>24</v>
      </c>
      <c r="CN5" s="108" t="s">
        <v>25</v>
      </c>
      <c r="CO5" s="33"/>
      <c r="CP5" s="106" t="s">
        <v>10</v>
      </c>
      <c r="CQ5" s="108" t="s">
        <v>15</v>
      </c>
      <c r="CR5" s="49" t="s">
        <v>53</v>
      </c>
      <c r="CS5" s="48" t="s">
        <v>85</v>
      </c>
      <c r="CT5" s="108" t="s">
        <v>77</v>
      </c>
      <c r="CU5" s="49" t="s">
        <v>87</v>
      </c>
      <c r="CV5" s="108" t="s">
        <v>24</v>
      </c>
      <c r="CW5" s="108" t="s">
        <v>25</v>
      </c>
      <c r="CX5" s="33"/>
      <c r="CY5" s="33"/>
    </row>
    <row r="6" spans="1:103" ht="15.5" x14ac:dyDescent="0.35">
      <c r="A6" s="16"/>
      <c r="B6" s="33"/>
      <c r="C6" s="33"/>
      <c r="D6" s="33"/>
      <c r="E6" s="33"/>
      <c r="F6" s="33"/>
      <c r="G6" s="33"/>
      <c r="I6" s="33"/>
      <c r="J6" s="33"/>
      <c r="K6" s="33"/>
      <c r="L6" s="34"/>
      <c r="M6" s="107"/>
      <c r="N6" s="109"/>
      <c r="O6" s="50" t="s">
        <v>86</v>
      </c>
      <c r="P6" s="50" t="s">
        <v>158</v>
      </c>
      <c r="Q6" s="109"/>
      <c r="R6" s="50" t="s">
        <v>88</v>
      </c>
      <c r="S6" s="109"/>
      <c r="T6" s="109"/>
      <c r="U6" s="33"/>
      <c r="V6" s="107"/>
      <c r="W6" s="109"/>
      <c r="X6" s="50" t="s">
        <v>86</v>
      </c>
      <c r="Y6" s="50" t="s">
        <v>158</v>
      </c>
      <c r="Z6" s="109"/>
      <c r="AA6" s="50" t="s">
        <v>88</v>
      </c>
      <c r="AB6" s="109"/>
      <c r="AC6" s="109"/>
      <c r="AD6" s="16"/>
      <c r="AE6" s="107"/>
      <c r="AF6" s="109"/>
      <c r="AG6" s="50" t="s">
        <v>86</v>
      </c>
      <c r="AH6" s="50" t="s">
        <v>158</v>
      </c>
      <c r="AI6" s="109"/>
      <c r="AJ6" s="50" t="s">
        <v>88</v>
      </c>
      <c r="AK6" s="109"/>
      <c r="AL6" s="109"/>
      <c r="AM6" s="33"/>
      <c r="AN6" s="107"/>
      <c r="AO6" s="109"/>
      <c r="AP6" s="50" t="s">
        <v>86</v>
      </c>
      <c r="AQ6" s="50" t="s">
        <v>158</v>
      </c>
      <c r="AR6" s="109"/>
      <c r="AS6" s="50" t="s">
        <v>88</v>
      </c>
      <c r="AT6" s="109"/>
      <c r="AU6" s="109"/>
      <c r="AV6" s="33"/>
      <c r="AW6" s="107"/>
      <c r="AX6" s="109"/>
      <c r="AY6" s="50" t="s">
        <v>86</v>
      </c>
      <c r="AZ6" s="50" t="s">
        <v>158</v>
      </c>
      <c r="BA6" s="109"/>
      <c r="BB6" s="50" t="s">
        <v>88</v>
      </c>
      <c r="BC6" s="109"/>
      <c r="BD6" s="109"/>
      <c r="BE6" s="33"/>
      <c r="BF6" s="107"/>
      <c r="BG6" s="109"/>
      <c r="BH6" s="50" t="s">
        <v>86</v>
      </c>
      <c r="BI6" s="50" t="s">
        <v>158</v>
      </c>
      <c r="BJ6" s="109"/>
      <c r="BK6" s="50" t="s">
        <v>88</v>
      </c>
      <c r="BL6" s="109"/>
      <c r="BM6" s="109"/>
      <c r="BN6" s="33"/>
      <c r="BO6" s="107"/>
      <c r="BP6" s="109"/>
      <c r="BQ6" s="50" t="s">
        <v>86</v>
      </c>
      <c r="BR6" s="50" t="s">
        <v>158</v>
      </c>
      <c r="BS6" s="109"/>
      <c r="BT6" s="50" t="s">
        <v>88</v>
      </c>
      <c r="BU6" s="109"/>
      <c r="BV6" s="109"/>
      <c r="BW6" s="33"/>
      <c r="BX6" s="107"/>
      <c r="BY6" s="109"/>
      <c r="BZ6" s="50" t="s">
        <v>86</v>
      </c>
      <c r="CA6" s="50" t="s">
        <v>158</v>
      </c>
      <c r="CB6" s="109"/>
      <c r="CC6" s="50" t="s">
        <v>88</v>
      </c>
      <c r="CD6" s="109"/>
      <c r="CE6" s="109"/>
      <c r="CF6" s="33"/>
      <c r="CG6" s="107"/>
      <c r="CH6" s="109"/>
      <c r="CI6" s="50" t="s">
        <v>86</v>
      </c>
      <c r="CJ6" s="50" t="s">
        <v>158</v>
      </c>
      <c r="CK6" s="109"/>
      <c r="CL6" s="50" t="s">
        <v>88</v>
      </c>
      <c r="CM6" s="109"/>
      <c r="CN6" s="109"/>
      <c r="CO6" s="33"/>
      <c r="CP6" s="107"/>
      <c r="CQ6" s="109"/>
      <c r="CR6" s="50" t="s">
        <v>86</v>
      </c>
      <c r="CS6" s="50" t="s">
        <v>158</v>
      </c>
      <c r="CT6" s="109"/>
      <c r="CU6" s="50" t="s">
        <v>88</v>
      </c>
      <c r="CV6" s="109"/>
      <c r="CW6" s="109"/>
      <c r="CX6" s="33"/>
      <c r="CY6" s="33"/>
    </row>
    <row r="7" spans="1:103" ht="15.5" x14ac:dyDescent="0.35">
      <c r="A7" s="16"/>
      <c r="B7" s="33"/>
      <c r="C7" s="33"/>
      <c r="D7" s="33"/>
      <c r="E7" s="33"/>
      <c r="F7" s="33"/>
      <c r="G7" s="33"/>
      <c r="L7" s="34"/>
      <c r="M7" s="51" t="s">
        <v>14</v>
      </c>
      <c r="N7" s="52" t="s">
        <v>18</v>
      </c>
      <c r="O7" s="52" t="s">
        <v>18</v>
      </c>
      <c r="P7" s="53" t="s">
        <v>21</v>
      </c>
      <c r="Q7" s="53"/>
      <c r="R7" s="54" t="s">
        <v>31</v>
      </c>
      <c r="S7" s="52"/>
      <c r="T7" s="54" t="s">
        <v>31</v>
      </c>
      <c r="U7" s="33"/>
      <c r="V7" s="51" t="s">
        <v>14</v>
      </c>
      <c r="W7" s="52" t="s">
        <v>18</v>
      </c>
      <c r="X7" s="52" t="s">
        <v>18</v>
      </c>
      <c r="Y7" s="53" t="s">
        <v>21</v>
      </c>
      <c r="Z7" s="53"/>
      <c r="AA7" s="54" t="s">
        <v>31</v>
      </c>
      <c r="AB7" s="52"/>
      <c r="AC7" s="54" t="s">
        <v>31</v>
      </c>
      <c r="AD7" s="16"/>
      <c r="AE7" s="51" t="s">
        <v>14</v>
      </c>
      <c r="AF7" s="52" t="s">
        <v>18</v>
      </c>
      <c r="AG7" s="52" t="s">
        <v>18</v>
      </c>
      <c r="AH7" s="53" t="s">
        <v>21</v>
      </c>
      <c r="AI7" s="53"/>
      <c r="AJ7" s="54" t="s">
        <v>31</v>
      </c>
      <c r="AK7" s="52"/>
      <c r="AL7" s="54" t="s">
        <v>31</v>
      </c>
      <c r="AM7" s="33"/>
      <c r="AN7" s="51" t="s">
        <v>14</v>
      </c>
      <c r="AO7" s="52" t="s">
        <v>18</v>
      </c>
      <c r="AP7" s="52" t="s">
        <v>18</v>
      </c>
      <c r="AQ7" s="53" t="s">
        <v>21</v>
      </c>
      <c r="AR7" s="53"/>
      <c r="AS7" s="54" t="s">
        <v>31</v>
      </c>
      <c r="AT7" s="52"/>
      <c r="AU7" s="54" t="s">
        <v>31</v>
      </c>
      <c r="AV7" s="33"/>
      <c r="AW7" s="51" t="s">
        <v>14</v>
      </c>
      <c r="AX7" s="52" t="s">
        <v>18</v>
      </c>
      <c r="AY7" s="52" t="s">
        <v>18</v>
      </c>
      <c r="AZ7" s="53" t="s">
        <v>21</v>
      </c>
      <c r="BA7" s="53"/>
      <c r="BB7" s="54" t="s">
        <v>31</v>
      </c>
      <c r="BC7" s="52"/>
      <c r="BD7" s="54" t="s">
        <v>31</v>
      </c>
      <c r="BE7" s="33"/>
      <c r="BF7" s="51" t="s">
        <v>14</v>
      </c>
      <c r="BG7" s="52" t="s">
        <v>18</v>
      </c>
      <c r="BH7" s="52" t="s">
        <v>18</v>
      </c>
      <c r="BI7" s="53" t="s">
        <v>21</v>
      </c>
      <c r="BJ7" s="53"/>
      <c r="BK7" s="54" t="s">
        <v>31</v>
      </c>
      <c r="BL7" s="52"/>
      <c r="BM7" s="54" t="s">
        <v>31</v>
      </c>
      <c r="BN7" s="33"/>
      <c r="BO7" s="51" t="s">
        <v>14</v>
      </c>
      <c r="BP7" s="52" t="s">
        <v>18</v>
      </c>
      <c r="BQ7" s="52" t="s">
        <v>18</v>
      </c>
      <c r="BR7" s="53" t="s">
        <v>21</v>
      </c>
      <c r="BS7" s="53"/>
      <c r="BT7" s="54" t="s">
        <v>31</v>
      </c>
      <c r="BU7" s="52"/>
      <c r="BV7" s="54" t="s">
        <v>31</v>
      </c>
      <c r="BW7" s="33"/>
      <c r="BX7" s="51" t="s">
        <v>14</v>
      </c>
      <c r="BY7" s="52" t="s">
        <v>18</v>
      </c>
      <c r="BZ7" s="52" t="s">
        <v>18</v>
      </c>
      <c r="CA7" s="53" t="s">
        <v>21</v>
      </c>
      <c r="CB7" s="53"/>
      <c r="CC7" s="54" t="s">
        <v>31</v>
      </c>
      <c r="CD7" s="52"/>
      <c r="CE7" s="54" t="s">
        <v>31</v>
      </c>
      <c r="CF7" s="33"/>
      <c r="CG7" s="51" t="s">
        <v>14</v>
      </c>
      <c r="CH7" s="52" t="s">
        <v>18</v>
      </c>
      <c r="CI7" s="52" t="s">
        <v>18</v>
      </c>
      <c r="CJ7" s="53" t="s">
        <v>21</v>
      </c>
      <c r="CK7" s="53"/>
      <c r="CL7" s="54" t="s">
        <v>31</v>
      </c>
      <c r="CM7" s="52"/>
      <c r="CN7" s="54" t="s">
        <v>31</v>
      </c>
      <c r="CO7" s="33"/>
      <c r="CP7" s="51" t="s">
        <v>14</v>
      </c>
      <c r="CQ7" s="52" t="s">
        <v>18</v>
      </c>
      <c r="CR7" s="52" t="s">
        <v>18</v>
      </c>
      <c r="CS7" s="53" t="s">
        <v>21</v>
      </c>
      <c r="CT7" s="53"/>
      <c r="CU7" s="54" t="s">
        <v>31</v>
      </c>
      <c r="CV7" s="52"/>
      <c r="CW7" s="54" t="s">
        <v>31</v>
      </c>
      <c r="CX7" s="33"/>
      <c r="CY7" s="33"/>
    </row>
    <row r="8" spans="1:103" ht="15.5" x14ac:dyDescent="0.35">
      <c r="A8" s="16"/>
      <c r="B8" s="10" t="s">
        <v>2</v>
      </c>
      <c r="C8" s="10" t="s">
        <v>3</v>
      </c>
      <c r="D8" s="95" t="s">
        <v>4</v>
      </c>
      <c r="E8" s="96"/>
      <c r="F8" s="97"/>
      <c r="G8" s="33"/>
      <c r="L8" s="43"/>
      <c r="M8" s="25">
        <v>0</v>
      </c>
      <c r="N8" s="26">
        <f>date_today</f>
        <v>41296</v>
      </c>
      <c r="O8" s="26">
        <f t="shared" ref="O8:O43" si="0">DATE(YEAR(N8), MONTH(N8)-lag_time, DAY(N8))</f>
        <v>41051</v>
      </c>
      <c r="P8" s="55">
        <v>-7</v>
      </c>
      <c r="Q8" s="56" t="s">
        <v>137</v>
      </c>
      <c r="R8" s="28">
        <f ca="1">T8</f>
        <v>-493.88012616005091</v>
      </c>
      <c r="S8" s="28">
        <f t="shared" ref="S8:S43" si="1">(1+money_yield)^(-1*M8)</f>
        <v>1</v>
      </c>
      <c r="T8" s="37">
        <f ca="1">-SUM(T9:T43)</f>
        <v>-493.88012616005091</v>
      </c>
      <c r="U8" s="33"/>
      <c r="V8" s="25">
        <v>0</v>
      </c>
      <c r="W8" s="26">
        <f>date_today</f>
        <v>41296</v>
      </c>
      <c r="X8" s="26">
        <f t="shared" ref="X8:X43" si="2">DATE(YEAR(W8), MONTH(W8)-lag_time, DAY(W8))</f>
        <v>41051</v>
      </c>
      <c r="Y8" s="55">
        <v>-7</v>
      </c>
      <c r="Z8" s="56" t="s">
        <v>137</v>
      </c>
      <c r="AA8" s="28">
        <f ca="1">AC8</f>
        <v>-407.53782197547957</v>
      </c>
      <c r="AB8" s="28">
        <f t="shared" ref="AB8:AB43" si="3">(1+money_yield)^(-1*V8)</f>
        <v>1</v>
      </c>
      <c r="AC8" s="37">
        <f ca="1">-SUM(AC9:AC43)</f>
        <v>-407.53782197547957</v>
      </c>
      <c r="AD8" s="16"/>
      <c r="AE8" s="25">
        <v>0</v>
      </c>
      <c r="AF8" s="26">
        <f>date_today</f>
        <v>41296</v>
      </c>
      <c r="AG8" s="26">
        <f t="shared" ref="AG8:AG43" si="4">DATE(YEAR(AF8), MONTH(AF8)-lag_time, DAY(AF8))</f>
        <v>41051</v>
      </c>
      <c r="AH8" s="55">
        <v>-7</v>
      </c>
      <c r="AI8" s="56" t="s">
        <v>137</v>
      </c>
      <c r="AJ8" s="28">
        <f ca="1">AL8</f>
        <v>-562.0273679280549</v>
      </c>
      <c r="AK8" s="28">
        <f t="shared" ref="AK8:AK43" si="5">(1+money_yield)^(-1*AE8)</f>
        <v>1</v>
      </c>
      <c r="AL8" s="37">
        <f ca="1">-SUM(AL9:AL43)</f>
        <v>-562.0273679280549</v>
      </c>
      <c r="AM8" s="33"/>
      <c r="AN8" s="25">
        <v>0</v>
      </c>
      <c r="AO8" s="26">
        <f>date_today</f>
        <v>41296</v>
      </c>
      <c r="AP8" s="26">
        <f t="shared" ref="AP8:AP43" si="6">DATE(YEAR(AO8), MONTH(AO8)-lag_time, DAY(AO8))</f>
        <v>41051</v>
      </c>
      <c r="AQ8" s="55">
        <v>-7</v>
      </c>
      <c r="AR8" s="56" t="s">
        <v>137</v>
      </c>
      <c r="AS8" s="28">
        <f ca="1">AU8</f>
        <v>-305.653912012891</v>
      </c>
      <c r="AT8" s="28">
        <f t="shared" ref="AT8:AT43" si="7">(1+money_yield)^(-1*AN8)</f>
        <v>1</v>
      </c>
      <c r="AU8" s="37">
        <f ca="1">-SUM(AU9:AU43)</f>
        <v>-305.653912012891</v>
      </c>
      <c r="AV8" s="33"/>
      <c r="AW8" s="25">
        <v>0</v>
      </c>
      <c r="AX8" s="26">
        <f>date_today</f>
        <v>41296</v>
      </c>
      <c r="AY8" s="26">
        <f t="shared" ref="AY8:AY43" si="8">DATE(YEAR(AX8), MONTH(AX8)-lag_time, DAY(AX8))</f>
        <v>41051</v>
      </c>
      <c r="AZ8" s="55">
        <v>-7</v>
      </c>
      <c r="BA8" s="56" t="s">
        <v>137</v>
      </c>
      <c r="BB8" s="28">
        <f ca="1">BD8</f>
        <v>-291.60696951040245</v>
      </c>
      <c r="BC8" s="28">
        <f t="shared" ref="BC8:BC43" si="9">(1+money_yield)^(-1*AW8)</f>
        <v>1</v>
      </c>
      <c r="BD8" s="37">
        <f ca="1">-SUM(BD9:BD43)</f>
        <v>-291.60696951040245</v>
      </c>
      <c r="BE8" s="33"/>
      <c r="BF8" s="25">
        <v>0</v>
      </c>
      <c r="BG8" s="26">
        <f>date_today</f>
        <v>41296</v>
      </c>
      <c r="BH8" s="26">
        <f t="shared" ref="BH8:BH43" si="10">DATE(YEAR(BG8), MONTH(BG8)-lag_time, DAY(BG8))</f>
        <v>41051</v>
      </c>
      <c r="BI8" s="55">
        <v>-7</v>
      </c>
      <c r="BJ8" s="56" t="s">
        <v>137</v>
      </c>
      <c r="BK8" s="28">
        <f ca="1">BM8</f>
        <v>-559.82985383665709</v>
      </c>
      <c r="BL8" s="28">
        <f t="shared" ref="BL8:BL43" si="11">(1+money_yield)^(-1*BF8)</f>
        <v>1</v>
      </c>
      <c r="BM8" s="37">
        <f ca="1">-SUM(BM9:BM43)</f>
        <v>-559.82985383665709</v>
      </c>
      <c r="BN8" s="33"/>
      <c r="BO8" s="25">
        <v>0</v>
      </c>
      <c r="BP8" s="26">
        <f>date_today</f>
        <v>41296</v>
      </c>
      <c r="BQ8" s="26">
        <f t="shared" ref="BQ8:BQ43" si="12">DATE(YEAR(BP8), MONTH(BP8)-lag_time, DAY(BP8))</f>
        <v>41051</v>
      </c>
      <c r="BR8" s="55">
        <v>-7</v>
      </c>
      <c r="BS8" s="56" t="s">
        <v>137</v>
      </c>
      <c r="BT8" s="28">
        <f ca="1">BV8</f>
        <v>-415.3549317200052</v>
      </c>
      <c r="BU8" s="28">
        <f t="shared" ref="BU8:BU43" si="13">(1+money_yield)^(-1*BO8)</f>
        <v>1</v>
      </c>
      <c r="BV8" s="37">
        <f ca="1">-SUM(BV9:BV43)</f>
        <v>-415.3549317200052</v>
      </c>
      <c r="BW8" s="33"/>
      <c r="BX8" s="25">
        <v>0</v>
      </c>
      <c r="BY8" s="26">
        <f>date_today</f>
        <v>41296</v>
      </c>
      <c r="BZ8" s="26">
        <f t="shared" ref="BZ8:BZ43" si="14">DATE(YEAR(BY8), MONTH(BY8)-lag_time, DAY(BY8))</f>
        <v>41051</v>
      </c>
      <c r="CA8" s="55">
        <v>-7</v>
      </c>
      <c r="CB8" s="56" t="s">
        <v>137</v>
      </c>
      <c r="CC8" s="28">
        <f ca="1">CE8</f>
        <v>-381.11216534731267</v>
      </c>
      <c r="CD8" s="28">
        <f t="shared" ref="CD8:CD43" si="15">(1+money_yield)^(-1*BX8)</f>
        <v>1</v>
      </c>
      <c r="CE8" s="37">
        <f ca="1">-SUM(CE9:CE43)</f>
        <v>-381.11216534731267</v>
      </c>
      <c r="CF8" s="33"/>
      <c r="CG8" s="25">
        <v>0</v>
      </c>
      <c r="CH8" s="26">
        <f>date_today</f>
        <v>41296</v>
      </c>
      <c r="CI8" s="26">
        <f t="shared" ref="CI8:CI43" si="16">DATE(YEAR(CH8), MONTH(CH8)-lag_time, DAY(CH8))</f>
        <v>41051</v>
      </c>
      <c r="CJ8" s="55">
        <v>-7</v>
      </c>
      <c r="CK8" s="56" t="s">
        <v>137</v>
      </c>
      <c r="CL8" s="28">
        <f ca="1">CN8</f>
        <v>-447.45045543270538</v>
      </c>
      <c r="CM8" s="28">
        <f t="shared" ref="CM8:CM43" si="17">(1+money_yield)^(-1*CG8)</f>
        <v>1</v>
      </c>
      <c r="CN8" s="37">
        <f ca="1">-SUM(CN9:CN43)</f>
        <v>-447.45045543270538</v>
      </c>
      <c r="CO8" s="33"/>
      <c r="CP8" s="25">
        <v>0</v>
      </c>
      <c r="CQ8" s="26">
        <f>date_today</f>
        <v>41296</v>
      </c>
      <c r="CR8" s="26">
        <f t="shared" ref="CR8:CR43" si="18">DATE(YEAR(CQ8), MONTH(CQ8)-lag_time, DAY(CQ8))</f>
        <v>41051</v>
      </c>
      <c r="CS8" s="55">
        <v>-7</v>
      </c>
      <c r="CT8" s="56" t="s">
        <v>137</v>
      </c>
      <c r="CU8" s="28">
        <f ca="1">CW8</f>
        <v>-460.17399260762943</v>
      </c>
      <c r="CV8" s="28">
        <f t="shared" ref="CV8:CV43" si="19">(1+money_yield)^(-1*CP8)</f>
        <v>1</v>
      </c>
      <c r="CW8" s="37">
        <f ca="1">-SUM(CW9:CW43)</f>
        <v>-460.17399260762943</v>
      </c>
      <c r="CX8" s="33"/>
      <c r="CY8" s="33"/>
    </row>
    <row r="9" spans="1:103" ht="15.5" x14ac:dyDescent="0.35">
      <c r="A9" s="16"/>
      <c r="B9" s="11" t="s">
        <v>28</v>
      </c>
      <c r="C9" s="13">
        <v>4.8500000000000001E-2</v>
      </c>
      <c r="D9" s="81" t="s">
        <v>30</v>
      </c>
      <c r="E9" s="82"/>
      <c r="F9" s="83"/>
      <c r="G9" s="33"/>
      <c r="L9" s="43"/>
      <c r="M9" s="27">
        <v>0.5</v>
      </c>
      <c r="N9" s="30">
        <f t="shared" ref="N9:N43" si="20" xml:space="preserve"> DATE(YEAR(N8), MONTH(N8)+6, DAY(N8))</f>
        <v>41477</v>
      </c>
      <c r="O9" s="26">
        <f t="shared" si="0"/>
        <v>41235</v>
      </c>
      <c r="P9" s="55">
        <v>-1</v>
      </c>
      <c r="Q9" s="56">
        <f>RPI_nov12</f>
        <v>245.6</v>
      </c>
      <c r="R9" s="28">
        <f t="shared" ref="R9:R42" si="21">coupon*Q9/RPI_base</f>
        <v>3.7494448556624724</v>
      </c>
      <c r="S9" s="28">
        <f t="shared" si="1"/>
        <v>0.98924115382380051</v>
      </c>
      <c r="T9" s="29">
        <f>R9*S9</f>
        <v>3.7091051552142575</v>
      </c>
      <c r="U9" s="33"/>
      <c r="V9" s="27">
        <v>0.5</v>
      </c>
      <c r="W9" s="30">
        <f t="shared" ref="W9:W43" si="22" xml:space="preserve"> DATE(YEAR(W8), MONTH(W8)+6, DAY(W8))</f>
        <v>41477</v>
      </c>
      <c r="X9" s="26">
        <f t="shared" si="2"/>
        <v>41235</v>
      </c>
      <c r="Y9" s="55">
        <v>-1</v>
      </c>
      <c r="Z9" s="56">
        <f>RPI_nov12</f>
        <v>245.6</v>
      </c>
      <c r="AA9" s="28">
        <f t="shared" ref="AA9:AA42" si="23">coupon*Z9/RPI_base</f>
        <v>3.7494448556624724</v>
      </c>
      <c r="AB9" s="28">
        <f t="shared" si="3"/>
        <v>0.98924115382380051</v>
      </c>
      <c r="AC9" s="29">
        <f t="shared" ref="AC9:AC43" si="24">AA9*AB9</f>
        <v>3.7091051552142575</v>
      </c>
      <c r="AD9" s="16"/>
      <c r="AE9" s="27">
        <v>0.5</v>
      </c>
      <c r="AF9" s="30">
        <f t="shared" ref="AF9:AF43" si="25" xml:space="preserve"> DATE(YEAR(AF8), MONTH(AF8)+6, DAY(AF8))</f>
        <v>41477</v>
      </c>
      <c r="AG9" s="26">
        <f t="shared" si="4"/>
        <v>41235</v>
      </c>
      <c r="AH9" s="55">
        <v>-1</v>
      </c>
      <c r="AI9" s="56">
        <f>RPI_nov12</f>
        <v>245.6</v>
      </c>
      <c r="AJ9" s="28">
        <f t="shared" ref="AJ9:AJ42" si="26">coupon*AI9/RPI_base</f>
        <v>3.7494448556624724</v>
      </c>
      <c r="AK9" s="28">
        <f t="shared" si="5"/>
        <v>0.98924115382380051</v>
      </c>
      <c r="AL9" s="29">
        <f t="shared" ref="AL9:AL43" si="27">AJ9*AK9</f>
        <v>3.7091051552142575</v>
      </c>
      <c r="AM9" s="33"/>
      <c r="AN9" s="27">
        <v>0.5</v>
      </c>
      <c r="AO9" s="30">
        <f t="shared" ref="AO9:AO43" si="28" xml:space="preserve"> DATE(YEAR(AO8), MONTH(AO8)+6, DAY(AO8))</f>
        <v>41477</v>
      </c>
      <c r="AP9" s="26">
        <f t="shared" si="6"/>
        <v>41235</v>
      </c>
      <c r="AQ9" s="55">
        <v>-1</v>
      </c>
      <c r="AR9" s="56">
        <f>RPI_nov12</f>
        <v>245.6</v>
      </c>
      <c r="AS9" s="28">
        <f t="shared" ref="AS9:AS42" si="29">coupon*AR9/RPI_base</f>
        <v>3.7494448556624724</v>
      </c>
      <c r="AT9" s="28">
        <f t="shared" si="7"/>
        <v>0.98924115382380051</v>
      </c>
      <c r="AU9" s="29">
        <f t="shared" ref="AU9:AU43" si="30">AS9*AT9</f>
        <v>3.7091051552142575</v>
      </c>
      <c r="AV9" s="33"/>
      <c r="AW9" s="27">
        <v>0.5</v>
      </c>
      <c r="AX9" s="30">
        <f t="shared" ref="AX9:AX43" si="31" xml:space="preserve"> DATE(YEAR(AX8), MONTH(AX8)+6, DAY(AX8))</f>
        <v>41477</v>
      </c>
      <c r="AY9" s="26">
        <f t="shared" si="8"/>
        <v>41235</v>
      </c>
      <c r="AZ9" s="55">
        <v>-1</v>
      </c>
      <c r="BA9" s="56">
        <f>RPI_nov12</f>
        <v>245.6</v>
      </c>
      <c r="BB9" s="28">
        <f t="shared" ref="BB9:BB42" si="32">coupon*BA9/RPI_base</f>
        <v>3.7494448556624724</v>
      </c>
      <c r="BC9" s="28">
        <f t="shared" si="9"/>
        <v>0.98924115382380051</v>
      </c>
      <c r="BD9" s="29">
        <f t="shared" ref="BD9:BD43" si="33">BB9*BC9</f>
        <v>3.7091051552142575</v>
      </c>
      <c r="BE9" s="33"/>
      <c r="BF9" s="27">
        <v>0.5</v>
      </c>
      <c r="BG9" s="30">
        <f t="shared" ref="BG9:BG43" si="34" xml:space="preserve"> DATE(YEAR(BG8), MONTH(BG8)+6, DAY(BG8))</f>
        <v>41477</v>
      </c>
      <c r="BH9" s="26">
        <f t="shared" si="10"/>
        <v>41235</v>
      </c>
      <c r="BI9" s="55">
        <v>-1</v>
      </c>
      <c r="BJ9" s="56">
        <f>RPI_nov12</f>
        <v>245.6</v>
      </c>
      <c r="BK9" s="28">
        <f t="shared" ref="BK9:BK42" si="35">coupon*BJ9/RPI_base</f>
        <v>3.7494448556624724</v>
      </c>
      <c r="BL9" s="28">
        <f t="shared" si="11"/>
        <v>0.98924115382380051</v>
      </c>
      <c r="BM9" s="29">
        <f t="shared" ref="BM9:BM43" si="36">BK9*BL9</f>
        <v>3.7091051552142575</v>
      </c>
      <c r="BN9" s="33"/>
      <c r="BO9" s="27">
        <v>0.5</v>
      </c>
      <c r="BP9" s="30">
        <f t="shared" ref="BP9:BP43" si="37" xml:space="preserve"> DATE(YEAR(BP8), MONTH(BP8)+6, DAY(BP8))</f>
        <v>41477</v>
      </c>
      <c r="BQ9" s="26">
        <f t="shared" si="12"/>
        <v>41235</v>
      </c>
      <c r="BR9" s="55">
        <v>-1</v>
      </c>
      <c r="BS9" s="56">
        <f>RPI_nov12</f>
        <v>245.6</v>
      </c>
      <c r="BT9" s="28">
        <f t="shared" ref="BT9:BT42" si="38">coupon*BS9/RPI_base</f>
        <v>3.7494448556624724</v>
      </c>
      <c r="BU9" s="28">
        <f t="shared" si="13"/>
        <v>0.98924115382380051</v>
      </c>
      <c r="BV9" s="29">
        <f t="shared" ref="BV9:BV43" si="39">BT9*BU9</f>
        <v>3.7091051552142575</v>
      </c>
      <c r="BW9" s="33"/>
      <c r="BX9" s="27">
        <v>0.5</v>
      </c>
      <c r="BY9" s="30">
        <f t="shared" ref="BY9:BY43" si="40" xml:space="preserve"> DATE(YEAR(BY8), MONTH(BY8)+6, DAY(BY8))</f>
        <v>41477</v>
      </c>
      <c r="BZ9" s="26">
        <f t="shared" si="14"/>
        <v>41235</v>
      </c>
      <c r="CA9" s="55">
        <v>-1</v>
      </c>
      <c r="CB9" s="56">
        <f>RPI_nov12</f>
        <v>245.6</v>
      </c>
      <c r="CC9" s="28">
        <f t="shared" ref="CC9:CC42" si="41">coupon*CB9/RPI_base</f>
        <v>3.7494448556624724</v>
      </c>
      <c r="CD9" s="28">
        <f t="shared" si="15"/>
        <v>0.98924115382380051</v>
      </c>
      <c r="CE9" s="29">
        <f t="shared" ref="CE9:CE43" si="42">CC9*CD9</f>
        <v>3.7091051552142575</v>
      </c>
      <c r="CF9" s="33"/>
      <c r="CG9" s="27">
        <v>0.5</v>
      </c>
      <c r="CH9" s="30">
        <f t="shared" ref="CH9:CH43" si="43" xml:space="preserve"> DATE(YEAR(CH8), MONTH(CH8)+6, DAY(CH8))</f>
        <v>41477</v>
      </c>
      <c r="CI9" s="26">
        <f t="shared" si="16"/>
        <v>41235</v>
      </c>
      <c r="CJ9" s="55">
        <v>-1</v>
      </c>
      <c r="CK9" s="56">
        <f>RPI_nov12</f>
        <v>245.6</v>
      </c>
      <c r="CL9" s="28">
        <f t="shared" ref="CL9:CL42" si="44">coupon*CK9/RPI_base</f>
        <v>3.7494448556624724</v>
      </c>
      <c r="CM9" s="28">
        <f t="shared" si="17"/>
        <v>0.98924115382380051</v>
      </c>
      <c r="CN9" s="29">
        <f t="shared" ref="CN9:CN43" si="45">CL9*CM9</f>
        <v>3.7091051552142575</v>
      </c>
      <c r="CO9" s="33"/>
      <c r="CP9" s="27">
        <v>0.5</v>
      </c>
      <c r="CQ9" s="30">
        <f t="shared" ref="CQ9:CQ43" si="46" xml:space="preserve"> DATE(YEAR(CQ8), MONTH(CQ8)+6, DAY(CQ8))</f>
        <v>41477</v>
      </c>
      <c r="CR9" s="26">
        <f t="shared" si="18"/>
        <v>41235</v>
      </c>
      <c r="CS9" s="55">
        <v>-1</v>
      </c>
      <c r="CT9" s="56">
        <f>RPI_nov12</f>
        <v>245.6</v>
      </c>
      <c r="CU9" s="28">
        <f t="shared" ref="CU9:CU42" si="47">coupon*CT9/RPI_base</f>
        <v>3.7494448556624724</v>
      </c>
      <c r="CV9" s="28">
        <f t="shared" si="19"/>
        <v>0.98924115382380051</v>
      </c>
      <c r="CW9" s="29">
        <f t="shared" ref="CW9:CW43" si="48">CU9*CV9</f>
        <v>3.7091051552142575</v>
      </c>
      <c r="CX9" s="33"/>
      <c r="CY9" s="33"/>
    </row>
    <row r="10" spans="1:103" ht="15.5" x14ac:dyDescent="0.35">
      <c r="A10" s="16"/>
      <c r="B10" s="11" t="s">
        <v>29</v>
      </c>
      <c r="C10" s="13">
        <v>2.3699999999999999E-2</v>
      </c>
      <c r="D10" s="81" t="s">
        <v>30</v>
      </c>
      <c r="E10" s="82"/>
      <c r="F10" s="83"/>
      <c r="G10" s="33"/>
      <c r="L10" s="43"/>
      <c r="M10" s="27">
        <v>1</v>
      </c>
      <c r="N10" s="30">
        <f t="shared" si="20"/>
        <v>41661</v>
      </c>
      <c r="O10" s="26">
        <f t="shared" si="0"/>
        <v>41416</v>
      </c>
      <c r="P10" s="55">
        <v>5</v>
      </c>
      <c r="Q10" s="56">
        <f t="shared" ref="Q10:Q43" ca="1" si="49">RPI_last*(q_1)^(P10/12)</f>
        <v>252.54788603518085</v>
      </c>
      <c r="R10" s="28">
        <f t="shared" ca="1" si="21"/>
        <v>3.8555145443934906</v>
      </c>
      <c r="S10" s="28">
        <f t="shared" si="1"/>
        <v>0.97859806041864417</v>
      </c>
      <c r="T10" s="29">
        <f t="shared" ref="T10:T43" ca="1" si="50">R10*S10</f>
        <v>3.7729990550593424</v>
      </c>
      <c r="U10" s="33"/>
      <c r="V10" s="27">
        <v>1</v>
      </c>
      <c r="W10" s="30">
        <f t="shared" si="22"/>
        <v>41661</v>
      </c>
      <c r="X10" s="26">
        <f t="shared" si="2"/>
        <v>41416</v>
      </c>
      <c r="Y10" s="55">
        <v>5</v>
      </c>
      <c r="Z10" s="56">
        <f t="shared" ref="Z10:Z43" ca="1" si="51">RPI_last*(q_2)^(Y10/12)</f>
        <v>251.11228356277852</v>
      </c>
      <c r="AA10" s="28">
        <f t="shared" ca="1" si="23"/>
        <v>3.8335979633473776</v>
      </c>
      <c r="AB10" s="28">
        <f t="shared" si="3"/>
        <v>0.97859806041864417</v>
      </c>
      <c r="AC10" s="29">
        <f t="shared" ca="1" si="24"/>
        <v>3.7515515313566081</v>
      </c>
      <c r="AD10" s="16"/>
      <c r="AE10" s="27">
        <v>1</v>
      </c>
      <c r="AF10" s="30">
        <f t="shared" si="25"/>
        <v>41661</v>
      </c>
      <c r="AG10" s="26">
        <f t="shared" si="4"/>
        <v>41416</v>
      </c>
      <c r="AH10" s="55">
        <v>5</v>
      </c>
      <c r="AI10" s="56">
        <f t="shared" ref="AI10:AI43" ca="1" si="52">RPI_last*(q_3)^(AH10/12)</f>
        <v>253.50076687044984</v>
      </c>
      <c r="AJ10" s="28">
        <f t="shared" ca="1" si="26"/>
        <v>3.8700616703945436</v>
      </c>
      <c r="AK10" s="28">
        <f t="shared" si="5"/>
        <v>0.97859806041864417</v>
      </c>
      <c r="AL10" s="29">
        <f t="shared" ca="1" si="27"/>
        <v>3.7872348443486388</v>
      </c>
      <c r="AM10" s="33"/>
      <c r="AN10" s="27">
        <v>1</v>
      </c>
      <c r="AO10" s="30">
        <f t="shared" si="28"/>
        <v>41661</v>
      </c>
      <c r="AP10" s="26">
        <f t="shared" si="6"/>
        <v>41416</v>
      </c>
      <c r="AQ10" s="55">
        <v>5</v>
      </c>
      <c r="AR10" s="56">
        <f t="shared" ref="AR10:AR43" ca="1" si="53">RPI_last*(q_4)^(AQ10/12)</f>
        <v>248.91004968129221</v>
      </c>
      <c r="AS10" s="28">
        <f t="shared" ca="1" si="29"/>
        <v>3.7999776274438575</v>
      </c>
      <c r="AT10" s="28">
        <f t="shared" si="7"/>
        <v>0.97859806041864417</v>
      </c>
      <c r="AU10" s="29">
        <f t="shared" ca="1" si="30"/>
        <v>3.7186507358508001</v>
      </c>
      <c r="AV10" s="33"/>
      <c r="AW10" s="27">
        <v>1</v>
      </c>
      <c r="AX10" s="30">
        <f t="shared" si="31"/>
        <v>41661</v>
      </c>
      <c r="AY10" s="26">
        <f t="shared" si="8"/>
        <v>41416</v>
      </c>
      <c r="AZ10" s="55">
        <v>5</v>
      </c>
      <c r="BA10" s="56">
        <f t="shared" ref="BA10:BA43" ca="1" si="54">RPI_last*(q_5)^(AZ10/12)</f>
        <v>248.54261722036816</v>
      </c>
      <c r="BB10" s="28">
        <f t="shared" ca="1" si="32"/>
        <v>3.7943682310659468</v>
      </c>
      <c r="BC10" s="28">
        <f t="shared" si="9"/>
        <v>0.97859806041864417</v>
      </c>
      <c r="BD10" s="29">
        <f t="shared" ca="1" si="33"/>
        <v>3.7131613914352575</v>
      </c>
      <c r="BE10" s="33"/>
      <c r="BF10" s="27">
        <v>1</v>
      </c>
      <c r="BG10" s="30">
        <f t="shared" si="34"/>
        <v>41661</v>
      </c>
      <c r="BH10" s="26">
        <f t="shared" si="10"/>
        <v>41416</v>
      </c>
      <c r="BI10" s="55">
        <v>5</v>
      </c>
      <c r="BJ10" s="56">
        <f t="shared" ref="BJ10:BJ43" ca="1" si="55">RPI_last*(q_6)^(BI10/12)</f>
        <v>253.47202088521388</v>
      </c>
      <c r="BK10" s="28">
        <f t="shared" ca="1" si="35"/>
        <v>3.8696228206939569</v>
      </c>
      <c r="BL10" s="28">
        <f t="shared" si="11"/>
        <v>0.97859806041864417</v>
      </c>
      <c r="BM10" s="29">
        <f t="shared" ca="1" si="36"/>
        <v>3.7868053868828291</v>
      </c>
      <c r="BN10" s="33"/>
      <c r="BO10" s="27">
        <v>1</v>
      </c>
      <c r="BP10" s="30">
        <f t="shared" si="37"/>
        <v>41661</v>
      </c>
      <c r="BQ10" s="26">
        <f t="shared" si="12"/>
        <v>41416</v>
      </c>
      <c r="BR10" s="55">
        <v>5</v>
      </c>
      <c r="BS10" s="56">
        <f t="shared" ref="BS10:BS43" ca="1" si="56">RPI_last*(q_7)^(BR10/12)</f>
        <v>251.25535526119259</v>
      </c>
      <c r="BT10" s="28">
        <f t="shared" ca="1" si="38"/>
        <v>3.8357821630363413</v>
      </c>
      <c r="BU10" s="28">
        <f t="shared" si="13"/>
        <v>0.97859806041864417</v>
      </c>
      <c r="BV10" s="29">
        <f t="shared" ca="1" si="39"/>
        <v>3.7536889849357951</v>
      </c>
      <c r="BW10" s="33"/>
      <c r="BX10" s="27">
        <v>1</v>
      </c>
      <c r="BY10" s="30">
        <f t="shared" si="40"/>
        <v>41661</v>
      </c>
      <c r="BZ10" s="26">
        <f t="shared" si="14"/>
        <v>41416</v>
      </c>
      <c r="CA10" s="55">
        <v>5</v>
      </c>
      <c r="CB10" s="56">
        <f t="shared" ref="CB10:CB43" ca="1" si="57">RPI_last*(q_8)^(CA10/12)</f>
        <v>250.6052919889907</v>
      </c>
      <c r="CC10" s="28">
        <f t="shared" ca="1" si="41"/>
        <v>3.8258579920599058</v>
      </c>
      <c r="CD10" s="28">
        <f t="shared" si="15"/>
        <v>0.97859806041864417</v>
      </c>
      <c r="CE10" s="29">
        <f t="shared" ca="1" si="42"/>
        <v>3.7439772104669924</v>
      </c>
      <c r="CF10" s="33"/>
      <c r="CG10" s="27">
        <v>1</v>
      </c>
      <c r="CH10" s="30">
        <f t="shared" si="43"/>
        <v>41661</v>
      </c>
      <c r="CI10" s="26">
        <f t="shared" si="16"/>
        <v>41416</v>
      </c>
      <c r="CJ10" s="55">
        <v>5</v>
      </c>
      <c r="CK10" s="56">
        <f t="shared" ref="CK10:CK43" ca="1" si="58">RPI_last*(q_9)^(CJ10/12)</f>
        <v>251.81338211409604</v>
      </c>
      <c r="CL10" s="28">
        <f t="shared" ca="1" si="44"/>
        <v>3.8443012628447306</v>
      </c>
      <c r="CM10" s="28">
        <f t="shared" si="17"/>
        <v>0.97859806041864417</v>
      </c>
      <c r="CN10" s="29">
        <f t="shared" ca="1" si="45"/>
        <v>3.7620257594847977</v>
      </c>
      <c r="CO10" s="33"/>
      <c r="CP10" s="27">
        <v>1</v>
      </c>
      <c r="CQ10" s="30">
        <f t="shared" si="46"/>
        <v>41661</v>
      </c>
      <c r="CR10" s="26">
        <f t="shared" si="18"/>
        <v>41416</v>
      </c>
      <c r="CS10" s="55">
        <v>5</v>
      </c>
      <c r="CT10" s="56">
        <f t="shared" ref="CT10:CT43" ca="1" si="59">RPI_last*(q_10)^(CS10/12)</f>
        <v>252.02261655138943</v>
      </c>
      <c r="CU10" s="28">
        <f t="shared" ca="1" si="47"/>
        <v>3.847495533954409</v>
      </c>
      <c r="CV10" s="28">
        <f t="shared" si="19"/>
        <v>0.97859806041864417</v>
      </c>
      <c r="CW10" s="29">
        <f t="shared" ca="1" si="48"/>
        <v>3.7651516669971805</v>
      </c>
      <c r="CX10" s="33"/>
      <c r="CY10" s="33"/>
    </row>
    <row r="11" spans="1:103" ht="15.5" x14ac:dyDescent="0.35">
      <c r="A11" s="16"/>
      <c r="B11" s="11" t="s">
        <v>44</v>
      </c>
      <c r="C11" s="13">
        <v>4.125</v>
      </c>
      <c r="D11" s="81" t="s">
        <v>23</v>
      </c>
      <c r="E11" s="82"/>
      <c r="F11" s="83"/>
      <c r="G11" s="33"/>
      <c r="L11" s="43"/>
      <c r="M11" s="27">
        <v>1.5</v>
      </c>
      <c r="N11" s="30">
        <f t="shared" si="20"/>
        <v>41842</v>
      </c>
      <c r="O11" s="26">
        <f t="shared" si="0"/>
        <v>41600</v>
      </c>
      <c r="P11" s="55">
        <v>11</v>
      </c>
      <c r="Q11" s="56">
        <f t="shared" ca="1" si="49"/>
        <v>259.62232583558352</v>
      </c>
      <c r="R11" s="28">
        <f t="shared" ca="1" si="21"/>
        <v>3.9635162622937905</v>
      </c>
      <c r="S11" s="28">
        <f t="shared" si="1"/>
        <v>0.96806947441827285</v>
      </c>
      <c r="T11" s="29">
        <f t="shared" ca="1" si="50"/>
        <v>3.8369591048870269</v>
      </c>
      <c r="U11" s="33"/>
      <c r="V11" s="27">
        <v>1.5</v>
      </c>
      <c r="W11" s="30">
        <f t="shared" si="22"/>
        <v>41842</v>
      </c>
      <c r="X11" s="26">
        <f t="shared" si="2"/>
        <v>41600</v>
      </c>
      <c r="Y11" s="55">
        <v>11</v>
      </c>
      <c r="Z11" s="56">
        <f t="shared" ca="1" si="51"/>
        <v>256.38659813251962</v>
      </c>
      <c r="AA11" s="28">
        <f t="shared" ca="1" si="23"/>
        <v>3.9141181247100056</v>
      </c>
      <c r="AB11" s="28">
        <f t="shared" si="3"/>
        <v>0.96806947441827285</v>
      </c>
      <c r="AC11" s="29">
        <f t="shared" ca="1" si="24"/>
        <v>3.789138275799051</v>
      </c>
      <c r="AD11" s="16"/>
      <c r="AE11" s="27">
        <v>1.5</v>
      </c>
      <c r="AF11" s="30">
        <f t="shared" si="25"/>
        <v>41842</v>
      </c>
      <c r="AG11" s="26">
        <f t="shared" si="4"/>
        <v>41600</v>
      </c>
      <c r="AH11" s="55">
        <v>11</v>
      </c>
      <c r="AI11" s="56">
        <f t="shared" ca="1" si="52"/>
        <v>261.78226680041519</v>
      </c>
      <c r="AJ11" s="28">
        <f t="shared" ca="1" si="26"/>
        <v>3.9964909346843549</v>
      </c>
      <c r="AK11" s="28">
        <f t="shared" si="5"/>
        <v>0.96806947441827285</v>
      </c>
      <c r="AL11" s="29">
        <f t="shared" ca="1" si="27"/>
        <v>3.8688808786572753</v>
      </c>
      <c r="AM11" s="33"/>
      <c r="AN11" s="27">
        <v>1.5</v>
      </c>
      <c r="AO11" s="30">
        <f t="shared" si="28"/>
        <v>41842</v>
      </c>
      <c r="AP11" s="26">
        <f t="shared" si="6"/>
        <v>41600</v>
      </c>
      <c r="AQ11" s="55">
        <v>11</v>
      </c>
      <c r="AR11" s="56">
        <f t="shared" ca="1" si="53"/>
        <v>251.46593584994494</v>
      </c>
      <c r="AS11" s="28">
        <f t="shared" ca="1" si="29"/>
        <v>3.838996985125918</v>
      </c>
      <c r="AT11" s="28">
        <f t="shared" si="7"/>
        <v>0.96806947441827285</v>
      </c>
      <c r="AU11" s="29">
        <f t="shared" ca="1" si="30"/>
        <v>3.7164157936841815</v>
      </c>
      <c r="AV11" s="33"/>
      <c r="AW11" s="27">
        <v>1.5</v>
      </c>
      <c r="AX11" s="30">
        <f t="shared" si="31"/>
        <v>41842</v>
      </c>
      <c r="AY11" s="26">
        <f t="shared" si="8"/>
        <v>41600</v>
      </c>
      <c r="AZ11" s="55">
        <v>11</v>
      </c>
      <c r="BA11" s="56">
        <f t="shared" ca="1" si="54"/>
        <v>250.65000726780883</v>
      </c>
      <c r="BB11" s="28">
        <f t="shared" ca="1" si="32"/>
        <v>3.82654063649042</v>
      </c>
      <c r="BC11" s="28">
        <f t="shared" si="9"/>
        <v>0.96806947441827285</v>
      </c>
      <c r="BD11" s="29">
        <f t="shared" ca="1" si="33"/>
        <v>3.7043571828074442</v>
      </c>
      <c r="BE11" s="33"/>
      <c r="BF11" s="27">
        <v>1.5</v>
      </c>
      <c r="BG11" s="30">
        <f t="shared" si="34"/>
        <v>41842</v>
      </c>
      <c r="BH11" s="26">
        <f t="shared" si="10"/>
        <v>41600</v>
      </c>
      <c r="BI11" s="55">
        <v>11</v>
      </c>
      <c r="BJ11" s="56">
        <f t="shared" ca="1" si="55"/>
        <v>261.71696407959951</v>
      </c>
      <c r="BK11" s="28">
        <f t="shared" ca="1" si="35"/>
        <v>3.9954939927029907</v>
      </c>
      <c r="BL11" s="28">
        <f t="shared" si="11"/>
        <v>0.96806947441827285</v>
      </c>
      <c r="BM11" s="29">
        <f t="shared" ca="1" si="36"/>
        <v>3.8679157695573507</v>
      </c>
      <c r="BN11" s="33"/>
      <c r="BO11" s="27">
        <v>1.5</v>
      </c>
      <c r="BP11" s="30">
        <f t="shared" si="37"/>
        <v>41842</v>
      </c>
      <c r="BQ11" s="26">
        <f t="shared" si="12"/>
        <v>41600</v>
      </c>
      <c r="BR11" s="55">
        <v>11</v>
      </c>
      <c r="BS11" s="56">
        <f t="shared" ca="1" si="56"/>
        <v>256.70807684504808</v>
      </c>
      <c r="BT11" s="28">
        <f t="shared" ca="1" si="38"/>
        <v>3.9190259695996428</v>
      </c>
      <c r="BU11" s="28">
        <f t="shared" si="13"/>
        <v>0.96806947441827285</v>
      </c>
      <c r="BV11" s="29">
        <f t="shared" ca="1" si="39"/>
        <v>3.7938894106218881</v>
      </c>
      <c r="BW11" s="33"/>
      <c r="BX11" s="27">
        <v>1.5</v>
      </c>
      <c r="BY11" s="30">
        <f t="shared" si="40"/>
        <v>41842</v>
      </c>
      <c r="BZ11" s="26">
        <f t="shared" si="14"/>
        <v>41600</v>
      </c>
      <c r="CA11" s="55">
        <v>11</v>
      </c>
      <c r="CB11" s="56">
        <f t="shared" ca="1" si="57"/>
        <v>255.24916876631696</v>
      </c>
      <c r="CC11" s="28">
        <f t="shared" ca="1" si="41"/>
        <v>3.8967535942304128</v>
      </c>
      <c r="CD11" s="28">
        <f t="shared" si="15"/>
        <v>0.96806947441827285</v>
      </c>
      <c r="CE11" s="29">
        <f t="shared" ca="1" si="42"/>
        <v>3.7723282039041512</v>
      </c>
      <c r="CF11" s="33"/>
      <c r="CG11" s="27">
        <v>1.5</v>
      </c>
      <c r="CH11" s="30">
        <f t="shared" si="43"/>
        <v>41842</v>
      </c>
      <c r="CI11" s="26">
        <f t="shared" si="16"/>
        <v>41600</v>
      </c>
      <c r="CJ11" s="55">
        <v>11</v>
      </c>
      <c r="CK11" s="56">
        <f t="shared" ca="1" si="58"/>
        <v>257.96405016644951</v>
      </c>
      <c r="CL11" s="28">
        <f t="shared" ca="1" si="44"/>
        <v>3.9382002477298452</v>
      </c>
      <c r="CM11" s="28">
        <f t="shared" si="17"/>
        <v>0.96806947441827285</v>
      </c>
      <c r="CN11" s="29">
        <f t="shared" ca="1" si="45"/>
        <v>3.8124514439737434</v>
      </c>
      <c r="CO11" s="33"/>
      <c r="CP11" s="27">
        <v>1.5</v>
      </c>
      <c r="CQ11" s="30">
        <f t="shared" si="46"/>
        <v>41842</v>
      </c>
      <c r="CR11" s="26">
        <f t="shared" si="18"/>
        <v>41600</v>
      </c>
      <c r="CS11" s="55">
        <v>11</v>
      </c>
      <c r="CT11" s="56">
        <f t="shared" ca="1" si="59"/>
        <v>258.43584447884484</v>
      </c>
      <c r="CU11" s="28">
        <f t="shared" ca="1" si="47"/>
        <v>3.9454028811074577</v>
      </c>
      <c r="CV11" s="28">
        <f t="shared" si="19"/>
        <v>0.96806947441827285</v>
      </c>
      <c r="CW11" s="29">
        <f t="shared" ca="1" si="48"/>
        <v>3.819424093482036</v>
      </c>
      <c r="CX11" s="33"/>
      <c r="CY11" s="33"/>
    </row>
    <row r="12" spans="1:103" ht="15.5" x14ac:dyDescent="0.35">
      <c r="A12" s="16"/>
      <c r="B12" s="11" t="s">
        <v>45</v>
      </c>
      <c r="C12" s="13">
        <f>C11/2</f>
        <v>2.0625</v>
      </c>
      <c r="D12" s="81" t="s">
        <v>54</v>
      </c>
      <c r="E12" s="82"/>
      <c r="F12" s="83"/>
      <c r="G12" s="33"/>
      <c r="L12" s="43"/>
      <c r="M12" s="27">
        <v>2</v>
      </c>
      <c r="N12" s="30">
        <f t="shared" si="20"/>
        <v>42026</v>
      </c>
      <c r="O12" s="26">
        <f t="shared" si="0"/>
        <v>41781</v>
      </c>
      <c r="P12" s="55">
        <v>17</v>
      </c>
      <c r="Q12" s="56">
        <f t="shared" ca="1" si="49"/>
        <v>266.89493676018458</v>
      </c>
      <c r="R12" s="28">
        <f t="shared" ca="1" si="21"/>
        <v>4.0745433535742466</v>
      </c>
      <c r="S12" s="28">
        <f t="shared" si="1"/>
        <v>0.95765416385513247</v>
      </c>
      <c r="T12" s="29">
        <f t="shared" ca="1" si="50"/>
        <v>3.9020034083586324</v>
      </c>
      <c r="U12" s="33"/>
      <c r="V12" s="27">
        <v>2</v>
      </c>
      <c r="W12" s="30">
        <f t="shared" si="22"/>
        <v>42026</v>
      </c>
      <c r="X12" s="26">
        <f t="shared" si="2"/>
        <v>41781</v>
      </c>
      <c r="Y12" s="55">
        <v>17</v>
      </c>
      <c r="Z12" s="56">
        <f t="shared" ca="1" si="51"/>
        <v>261.77169340078296</v>
      </c>
      <c r="AA12" s="28">
        <f t="shared" ca="1" si="23"/>
        <v>3.9963295162036627</v>
      </c>
      <c r="AB12" s="28">
        <f t="shared" si="3"/>
        <v>0.95765416385513247</v>
      </c>
      <c r="AC12" s="29">
        <f t="shared" ca="1" si="24"/>
        <v>3.8271016013296046</v>
      </c>
      <c r="AD12" s="16"/>
      <c r="AE12" s="27">
        <v>2</v>
      </c>
      <c r="AF12" s="30">
        <f t="shared" si="25"/>
        <v>42026</v>
      </c>
      <c r="AG12" s="26">
        <f t="shared" si="4"/>
        <v>41781</v>
      </c>
      <c r="AH12" s="55">
        <v>17</v>
      </c>
      <c r="AI12" s="56">
        <f t="shared" ca="1" si="52"/>
        <v>270.33431124169192</v>
      </c>
      <c r="AJ12" s="28">
        <f t="shared" ca="1" si="26"/>
        <v>4.1270504584455185</v>
      </c>
      <c r="AK12" s="28">
        <f t="shared" si="5"/>
        <v>0.95765416385513247</v>
      </c>
      <c r="AL12" s="29">
        <f t="shared" ca="1" si="27"/>
        <v>3.9522870559705843</v>
      </c>
      <c r="AM12" s="33"/>
      <c r="AN12" s="27">
        <v>2</v>
      </c>
      <c r="AO12" s="30">
        <f t="shared" si="28"/>
        <v>42026</v>
      </c>
      <c r="AP12" s="26">
        <f t="shared" si="6"/>
        <v>41781</v>
      </c>
      <c r="AQ12" s="55">
        <v>17</v>
      </c>
      <c r="AR12" s="56">
        <f t="shared" ca="1" si="53"/>
        <v>254.04806665643167</v>
      </c>
      <c r="AS12" s="28">
        <f t="shared" ca="1" si="29"/>
        <v>3.8784170057652871</v>
      </c>
      <c r="AT12" s="28">
        <f t="shared" si="7"/>
        <v>0.95765416385513247</v>
      </c>
      <c r="AU12" s="29">
        <f t="shared" ca="1" si="30"/>
        <v>3.7141821947376825</v>
      </c>
      <c r="AV12" s="33"/>
      <c r="AW12" s="27">
        <v>2</v>
      </c>
      <c r="AX12" s="30">
        <f t="shared" si="31"/>
        <v>42026</v>
      </c>
      <c r="AY12" s="26">
        <f t="shared" si="8"/>
        <v>41781</v>
      </c>
      <c r="AZ12" s="55">
        <v>17</v>
      </c>
      <c r="BA12" s="56">
        <f t="shared" ca="1" si="54"/>
        <v>252.7752658516869</v>
      </c>
      <c r="BB12" s="28">
        <f t="shared" ca="1" si="32"/>
        <v>3.8589858313775296</v>
      </c>
      <c r="BC12" s="28">
        <f t="shared" si="9"/>
        <v>0.95765416385513247</v>
      </c>
      <c r="BD12" s="29">
        <f t="shared" ca="1" si="33"/>
        <v>3.6955738496766513</v>
      </c>
      <c r="BE12" s="33"/>
      <c r="BF12" s="27">
        <v>2</v>
      </c>
      <c r="BG12" s="30">
        <f t="shared" si="34"/>
        <v>42026</v>
      </c>
      <c r="BH12" s="26">
        <f t="shared" si="10"/>
        <v>41781</v>
      </c>
      <c r="BI12" s="55">
        <v>17</v>
      </c>
      <c r="BJ12" s="56">
        <f t="shared" ca="1" si="55"/>
        <v>270.23009895857916</v>
      </c>
      <c r="BK12" s="28">
        <f t="shared" ca="1" si="35"/>
        <v>4.1254595048265692</v>
      </c>
      <c r="BL12" s="28">
        <f t="shared" si="11"/>
        <v>0.95765416385513247</v>
      </c>
      <c r="BM12" s="29">
        <f t="shared" ca="1" si="36"/>
        <v>3.9507634726128971</v>
      </c>
      <c r="BN12" s="33"/>
      <c r="BO12" s="27">
        <v>2</v>
      </c>
      <c r="BP12" s="30">
        <f t="shared" si="37"/>
        <v>42026</v>
      </c>
      <c r="BQ12" s="26">
        <f t="shared" si="12"/>
        <v>41781</v>
      </c>
      <c r="BR12" s="55">
        <v>17</v>
      </c>
      <c r="BS12" s="56">
        <f t="shared" ca="1" si="56"/>
        <v>262.27913291232232</v>
      </c>
      <c r="BT12" s="28">
        <f t="shared" ca="1" si="38"/>
        <v>4.0040763259190593</v>
      </c>
      <c r="BU12" s="28">
        <f t="shared" si="13"/>
        <v>0.95765416385513247</v>
      </c>
      <c r="BV12" s="29">
        <f t="shared" ca="1" si="39"/>
        <v>3.8345203659101474</v>
      </c>
      <c r="BW12" s="33"/>
      <c r="BX12" s="27">
        <v>2</v>
      </c>
      <c r="BY12" s="30">
        <f t="shared" si="40"/>
        <v>42026</v>
      </c>
      <c r="BZ12" s="26">
        <f t="shared" si="14"/>
        <v>41781</v>
      </c>
      <c r="CA12" s="55">
        <v>17</v>
      </c>
      <c r="CB12" s="56">
        <f t="shared" ca="1" si="57"/>
        <v>259.97909955851196</v>
      </c>
      <c r="CC12" s="28">
        <f t="shared" ca="1" si="41"/>
        <v>3.9689629373755064</v>
      </c>
      <c r="CD12" s="28">
        <f t="shared" si="15"/>
        <v>0.95765416385513247</v>
      </c>
      <c r="CE12" s="29">
        <f t="shared" ca="1" si="42"/>
        <v>3.8008938831643513</v>
      </c>
      <c r="CF12" s="33"/>
      <c r="CG12" s="27">
        <v>2</v>
      </c>
      <c r="CH12" s="30">
        <f t="shared" si="43"/>
        <v>42026</v>
      </c>
      <c r="CI12" s="26">
        <f t="shared" si="16"/>
        <v>41781</v>
      </c>
      <c r="CJ12" s="55">
        <v>17</v>
      </c>
      <c r="CK12" s="56">
        <f t="shared" ca="1" si="58"/>
        <v>264.26495136833864</v>
      </c>
      <c r="CL12" s="28">
        <f t="shared" ca="1" si="44"/>
        <v>4.0343927623774869</v>
      </c>
      <c r="CM12" s="28">
        <f t="shared" si="17"/>
        <v>0.95765416385513247</v>
      </c>
      <c r="CN12" s="29">
        <f t="shared" ca="1" si="45"/>
        <v>3.8635530275178103</v>
      </c>
      <c r="CO12" s="33"/>
      <c r="CP12" s="27">
        <v>2</v>
      </c>
      <c r="CQ12" s="30">
        <f t="shared" si="46"/>
        <v>42026</v>
      </c>
      <c r="CR12" s="26">
        <f t="shared" si="18"/>
        <v>41781</v>
      </c>
      <c r="CS12" s="55">
        <v>17</v>
      </c>
      <c r="CT12" s="56">
        <f t="shared" ca="1" si="59"/>
        <v>265.01227003122892</v>
      </c>
      <c r="CU12" s="28">
        <f t="shared" ca="1" si="47"/>
        <v>4.0458016797883767</v>
      </c>
      <c r="CV12" s="28">
        <f t="shared" si="19"/>
        <v>0.95765416385513247</v>
      </c>
      <c r="CW12" s="29">
        <f t="shared" ca="1" si="48"/>
        <v>3.8744788247814284</v>
      </c>
      <c r="CX12" s="33"/>
      <c r="CY12" s="33"/>
    </row>
    <row r="13" spans="1:103" ht="15.5" x14ac:dyDescent="0.35">
      <c r="A13" s="16"/>
      <c r="B13" s="11" t="s">
        <v>52</v>
      </c>
      <c r="C13" s="13">
        <v>8</v>
      </c>
      <c r="D13" s="81" t="s">
        <v>19</v>
      </c>
      <c r="E13" s="82"/>
      <c r="F13" s="83"/>
      <c r="G13" s="33"/>
      <c r="L13" s="43"/>
      <c r="M13" s="27">
        <v>2.5</v>
      </c>
      <c r="N13" s="30">
        <f t="shared" si="20"/>
        <v>42207</v>
      </c>
      <c r="O13" s="26">
        <f t="shared" si="0"/>
        <v>41965</v>
      </c>
      <c r="P13" s="55">
        <v>23</v>
      </c>
      <c r="Q13" s="56">
        <f t="shared" ca="1" si="49"/>
        <v>274.37127003220087</v>
      </c>
      <c r="R13" s="28">
        <f t="shared" ca="1" si="21"/>
        <v>4.1886805658135779</v>
      </c>
      <c r="S13" s="28">
        <f t="shared" si="1"/>
        <v>0.94735091001621818</v>
      </c>
      <c r="T13" s="29">
        <f t="shared" ca="1" si="50"/>
        <v>3.9681503457907406</v>
      </c>
      <c r="U13" s="33"/>
      <c r="V13" s="27">
        <v>2.5</v>
      </c>
      <c r="W13" s="30">
        <f t="shared" si="22"/>
        <v>42207</v>
      </c>
      <c r="X13" s="26">
        <f t="shared" si="2"/>
        <v>41965</v>
      </c>
      <c r="Y13" s="55">
        <v>23</v>
      </c>
      <c r="Z13" s="56">
        <f t="shared" ca="1" si="51"/>
        <v>267.26989618425768</v>
      </c>
      <c r="AA13" s="28">
        <f t="shared" ca="1" si="23"/>
        <v>4.0802676601038597</v>
      </c>
      <c r="AB13" s="28">
        <f t="shared" si="3"/>
        <v>0.94735091001621818</v>
      </c>
      <c r="AC13" s="29">
        <f t="shared" ca="1" si="24"/>
        <v>3.8654452809091366</v>
      </c>
      <c r="AD13" s="16"/>
      <c r="AE13" s="27">
        <v>2.5</v>
      </c>
      <c r="AF13" s="30">
        <f t="shared" si="25"/>
        <v>42207</v>
      </c>
      <c r="AG13" s="26">
        <f t="shared" si="4"/>
        <v>41965</v>
      </c>
      <c r="AH13" s="55">
        <v>23</v>
      </c>
      <c r="AI13" s="56">
        <f t="shared" ca="1" si="52"/>
        <v>279.1657384884561</v>
      </c>
      <c r="AJ13" s="28">
        <f t="shared" ca="1" si="26"/>
        <v>4.2618751712245801</v>
      </c>
      <c r="AK13" s="28">
        <f t="shared" si="5"/>
        <v>0.94735091001621818</v>
      </c>
      <c r="AL13" s="29">
        <f t="shared" ca="1" si="27"/>
        <v>4.037491321835132</v>
      </c>
      <c r="AM13" s="33"/>
      <c r="AN13" s="27">
        <v>2.5</v>
      </c>
      <c r="AO13" s="30">
        <f t="shared" si="28"/>
        <v>42207</v>
      </c>
      <c r="AP13" s="26">
        <f t="shared" si="6"/>
        <v>41965</v>
      </c>
      <c r="AQ13" s="55">
        <v>23</v>
      </c>
      <c r="AR13" s="56">
        <f t="shared" ca="1" si="53"/>
        <v>256.65671158889444</v>
      </c>
      <c r="AS13" s="28">
        <f t="shared" ca="1" si="29"/>
        <v>3.9182418034944098</v>
      </c>
      <c r="AT13" s="28">
        <f t="shared" si="7"/>
        <v>0.94735091001621818</v>
      </c>
      <c r="AU13" s="29">
        <f t="shared" ca="1" si="30"/>
        <v>3.7119499382040169</v>
      </c>
      <c r="AV13" s="33"/>
      <c r="AW13" s="27">
        <v>2.5</v>
      </c>
      <c r="AX13" s="30">
        <f t="shared" si="31"/>
        <v>42207</v>
      </c>
      <c r="AY13" s="26">
        <f t="shared" si="8"/>
        <v>41965</v>
      </c>
      <c r="AZ13" s="55">
        <v>23</v>
      </c>
      <c r="BA13" s="56">
        <f t="shared" ca="1" si="54"/>
        <v>254.91854447912124</v>
      </c>
      <c r="BB13" s="28">
        <f t="shared" ca="1" si="32"/>
        <v>3.8917061287060521</v>
      </c>
      <c r="BC13" s="28">
        <f t="shared" si="9"/>
        <v>0.94735091001621818</v>
      </c>
      <c r="BD13" s="29">
        <f t="shared" ca="1" si="33"/>
        <v>3.6868113425453721</v>
      </c>
      <c r="BE13" s="33"/>
      <c r="BF13" s="27">
        <v>2.5</v>
      </c>
      <c r="BG13" s="30">
        <f t="shared" si="34"/>
        <v>42207</v>
      </c>
      <c r="BH13" s="26">
        <f t="shared" si="10"/>
        <v>41965</v>
      </c>
      <c r="BI13" s="55">
        <v>23</v>
      </c>
      <c r="BJ13" s="56">
        <f t="shared" ca="1" si="55"/>
        <v>279.02014926687599</v>
      </c>
      <c r="BK13" s="28">
        <f t="shared" ca="1" si="35"/>
        <v>4.2596525378455352</v>
      </c>
      <c r="BL13" s="28">
        <f t="shared" si="11"/>
        <v>0.94735091001621818</v>
      </c>
      <c r="BM13" s="29">
        <f t="shared" ca="1" si="36"/>
        <v>4.0353857080808613</v>
      </c>
      <c r="BN13" s="33"/>
      <c r="BO13" s="27">
        <v>2.5</v>
      </c>
      <c r="BP13" s="30">
        <f t="shared" si="37"/>
        <v>42207</v>
      </c>
      <c r="BQ13" s="26">
        <f t="shared" si="12"/>
        <v>41965</v>
      </c>
      <c r="BR13" s="55">
        <v>23</v>
      </c>
      <c r="BS13" s="56">
        <f t="shared" ca="1" si="56"/>
        <v>267.97109154754907</v>
      </c>
      <c r="BT13" s="28">
        <f t="shared" ca="1" si="38"/>
        <v>4.0909724375782384</v>
      </c>
      <c r="BU13" s="28">
        <f t="shared" si="13"/>
        <v>0.94735091001621818</v>
      </c>
      <c r="BV13" s="29">
        <f t="shared" ca="1" si="39"/>
        <v>3.8755864615910105</v>
      </c>
      <c r="BW13" s="33"/>
      <c r="BX13" s="27">
        <v>2.5</v>
      </c>
      <c r="BY13" s="30">
        <f t="shared" si="40"/>
        <v>42207</v>
      </c>
      <c r="BZ13" s="26">
        <f t="shared" si="14"/>
        <v>41965</v>
      </c>
      <c r="CA13" s="55">
        <v>23</v>
      </c>
      <c r="CB13" s="56">
        <f t="shared" ca="1" si="57"/>
        <v>264.79667900165879</v>
      </c>
      <c r="CC13" s="28">
        <f t="shared" ca="1" si="41"/>
        <v>4.0425103659579662</v>
      </c>
      <c r="CD13" s="28">
        <f t="shared" si="15"/>
        <v>0.94735091001621818</v>
      </c>
      <c r="CE13" s="29">
        <f t="shared" ca="1" si="42"/>
        <v>3.8296758739402743</v>
      </c>
      <c r="CF13" s="33"/>
      <c r="CG13" s="27">
        <v>2.5</v>
      </c>
      <c r="CH13" s="30">
        <f t="shared" si="43"/>
        <v>42207</v>
      </c>
      <c r="CI13" s="26">
        <f t="shared" si="16"/>
        <v>41965</v>
      </c>
      <c r="CJ13" s="55">
        <v>23</v>
      </c>
      <c r="CK13" s="56">
        <f t="shared" ca="1" si="58"/>
        <v>270.71975523972912</v>
      </c>
      <c r="CL13" s="28">
        <f t="shared" ca="1" si="44"/>
        <v>4.1329348274014901</v>
      </c>
      <c r="CM13" s="28">
        <f t="shared" si="17"/>
        <v>0.94735091001621818</v>
      </c>
      <c r="CN13" s="29">
        <f t="shared" ca="1" si="45"/>
        <v>3.9153395697765232</v>
      </c>
      <c r="CO13" s="33"/>
      <c r="CP13" s="27">
        <v>2.5</v>
      </c>
      <c r="CQ13" s="30">
        <f t="shared" si="46"/>
        <v>42207</v>
      </c>
      <c r="CR13" s="26">
        <f t="shared" si="18"/>
        <v>41965</v>
      </c>
      <c r="CS13" s="55">
        <v>23</v>
      </c>
      <c r="CT13" s="56">
        <f t="shared" ca="1" si="59"/>
        <v>271.75604610394527</v>
      </c>
      <c r="CU13" s="28">
        <f t="shared" ca="1" si="47"/>
        <v>4.148755330047277</v>
      </c>
      <c r="CV13" s="28">
        <f t="shared" si="19"/>
        <v>0.94735091001621818</v>
      </c>
      <c r="CW13" s="29">
        <f t="shared" ca="1" si="48"/>
        <v>3.9303271373549236</v>
      </c>
      <c r="CX13" s="33"/>
      <c r="CY13" s="33"/>
    </row>
    <row r="14" spans="1:103" ht="15.5" x14ac:dyDescent="0.35">
      <c r="A14" s="16"/>
      <c r="B14" s="11" t="s">
        <v>46</v>
      </c>
      <c r="C14" s="12">
        <v>33767</v>
      </c>
      <c r="D14" s="81" t="s">
        <v>37</v>
      </c>
      <c r="E14" s="82"/>
      <c r="F14" s="83"/>
      <c r="G14" s="33"/>
      <c r="L14" s="43"/>
      <c r="M14" s="27">
        <v>3</v>
      </c>
      <c r="N14" s="30">
        <f t="shared" si="20"/>
        <v>42391</v>
      </c>
      <c r="O14" s="26">
        <f t="shared" si="0"/>
        <v>42146</v>
      </c>
      <c r="P14" s="55">
        <v>29</v>
      </c>
      <c r="Q14" s="56">
        <f t="shared" ca="1" si="49"/>
        <v>282.05703237721781</v>
      </c>
      <c r="R14" s="28">
        <f t="shared" ca="1" si="21"/>
        <v>4.3060150205626329</v>
      </c>
      <c r="S14" s="28">
        <f t="shared" si="1"/>
        <v>0.93715850730047112</v>
      </c>
      <c r="T14" s="29">
        <f t="shared" ca="1" si="50"/>
        <v>4.0354186090838846</v>
      </c>
      <c r="U14" s="33"/>
      <c r="V14" s="27">
        <v>3</v>
      </c>
      <c r="W14" s="30">
        <f t="shared" si="22"/>
        <v>42391</v>
      </c>
      <c r="X14" s="26">
        <f t="shared" si="2"/>
        <v>42146</v>
      </c>
      <c r="Y14" s="55">
        <v>29</v>
      </c>
      <c r="Z14" s="56">
        <f t="shared" ca="1" si="51"/>
        <v>272.8835821716475</v>
      </c>
      <c r="AA14" s="28">
        <f t="shared" ca="1" si="23"/>
        <v>4.165968824789215</v>
      </c>
      <c r="AB14" s="28">
        <f t="shared" si="3"/>
        <v>0.93715850730047112</v>
      </c>
      <c r="AC14" s="29">
        <f t="shared" ca="1" si="24"/>
        <v>3.9041731252997587</v>
      </c>
      <c r="AD14" s="16"/>
      <c r="AE14" s="27">
        <v>3</v>
      </c>
      <c r="AF14" s="30">
        <f t="shared" si="25"/>
        <v>42391</v>
      </c>
      <c r="AG14" s="26">
        <f t="shared" si="4"/>
        <v>42146</v>
      </c>
      <c r="AH14" s="55">
        <v>29</v>
      </c>
      <c r="AI14" s="56">
        <f t="shared" ca="1" si="52"/>
        <v>288.28567556905034</v>
      </c>
      <c r="AJ14" s="28">
        <f t="shared" ca="1" si="26"/>
        <v>4.4011044105193662</v>
      </c>
      <c r="AK14" s="28">
        <f t="shared" si="5"/>
        <v>0.93715850730047112</v>
      </c>
      <c r="AL14" s="29">
        <f t="shared" ca="1" si="27"/>
        <v>4.1245324398358489</v>
      </c>
      <c r="AM14" s="33"/>
      <c r="AN14" s="27">
        <v>3</v>
      </c>
      <c r="AO14" s="30">
        <f t="shared" si="28"/>
        <v>42391</v>
      </c>
      <c r="AP14" s="26">
        <f t="shared" si="6"/>
        <v>42146</v>
      </c>
      <c r="AQ14" s="55">
        <v>29</v>
      </c>
      <c r="AR14" s="56">
        <f t="shared" ca="1" si="53"/>
        <v>259.29214290266378</v>
      </c>
      <c r="AS14" s="28">
        <f t="shared" ca="1" si="29"/>
        <v>3.9584755346909262</v>
      </c>
      <c r="AT14" s="28">
        <f t="shared" si="7"/>
        <v>0.93715850730047112</v>
      </c>
      <c r="AU14" s="29">
        <f t="shared" ca="1" si="30"/>
        <v>3.7097190232763828</v>
      </c>
      <c r="AV14" s="33"/>
      <c r="AW14" s="27">
        <v>3</v>
      </c>
      <c r="AX14" s="30">
        <f t="shared" si="31"/>
        <v>42391</v>
      </c>
      <c r="AY14" s="26">
        <f t="shared" si="8"/>
        <v>42146</v>
      </c>
      <c r="AZ14" s="55">
        <v>29</v>
      </c>
      <c r="BA14" s="56">
        <f t="shared" ca="1" si="54"/>
        <v>257.07999594185793</v>
      </c>
      <c r="BB14" s="28">
        <f t="shared" ca="1" si="32"/>
        <v>3.9247038610664844</v>
      </c>
      <c r="BC14" s="28">
        <f t="shared" si="9"/>
        <v>0.93715850730047112</v>
      </c>
      <c r="BD14" s="29">
        <f t="shared" ca="1" si="33"/>
        <v>3.6780696120334619</v>
      </c>
      <c r="BE14" s="33"/>
      <c r="BF14" s="27">
        <v>3</v>
      </c>
      <c r="BG14" s="30">
        <f t="shared" si="34"/>
        <v>42391</v>
      </c>
      <c r="BH14" s="26">
        <f t="shared" si="10"/>
        <v>42146</v>
      </c>
      <c r="BI14" s="55">
        <v>29</v>
      </c>
      <c r="BJ14" s="56">
        <f t="shared" ca="1" si="55"/>
        <v>288.09612251536396</v>
      </c>
      <c r="BK14" s="28">
        <f t="shared" ca="1" si="35"/>
        <v>4.398210604647951</v>
      </c>
      <c r="BL14" s="28">
        <f t="shared" si="11"/>
        <v>0.93715850730047112</v>
      </c>
      <c r="BM14" s="29">
        <f t="shared" ca="1" si="36"/>
        <v>4.1218204850449762</v>
      </c>
      <c r="BN14" s="33"/>
      <c r="BO14" s="27">
        <v>3</v>
      </c>
      <c r="BP14" s="30">
        <f t="shared" si="37"/>
        <v>42391</v>
      </c>
      <c r="BQ14" s="26">
        <f t="shared" si="12"/>
        <v>42146</v>
      </c>
      <c r="BR14" s="55">
        <v>29</v>
      </c>
      <c r="BS14" s="56">
        <f t="shared" ca="1" si="56"/>
        <v>273.78657656760629</v>
      </c>
      <c r="BT14" s="28">
        <f t="shared" ca="1" si="38"/>
        <v>4.1797543609969505</v>
      </c>
      <c r="BU14" s="28">
        <f t="shared" si="13"/>
        <v>0.93715850730047112</v>
      </c>
      <c r="BV14" s="29">
        <f t="shared" ca="1" si="39"/>
        <v>3.9170923578345365</v>
      </c>
      <c r="BW14" s="33"/>
      <c r="BX14" s="27">
        <v>3</v>
      </c>
      <c r="BY14" s="30">
        <f t="shared" si="40"/>
        <v>42391</v>
      </c>
      <c r="BZ14" s="26">
        <f t="shared" si="14"/>
        <v>42146</v>
      </c>
      <c r="CA14" s="55">
        <v>29</v>
      </c>
      <c r="CB14" s="56">
        <f t="shared" ca="1" si="57"/>
        <v>269.70353128147002</v>
      </c>
      <c r="CC14" s="28">
        <f t="shared" ca="1" si="41"/>
        <v>4.1174206755590816</v>
      </c>
      <c r="CD14" s="28">
        <f t="shared" si="15"/>
        <v>0.93715850730047112</v>
      </c>
      <c r="CE14" s="29">
        <f t="shared" ca="1" si="42"/>
        <v>3.8586758142350464</v>
      </c>
      <c r="CF14" s="33"/>
      <c r="CG14" s="27">
        <v>3</v>
      </c>
      <c r="CH14" s="30">
        <f t="shared" si="43"/>
        <v>42391</v>
      </c>
      <c r="CI14" s="26">
        <f t="shared" si="16"/>
        <v>42146</v>
      </c>
      <c r="CJ14" s="55">
        <v>29</v>
      </c>
      <c r="CK14" s="56">
        <f t="shared" ca="1" si="58"/>
        <v>277.33222093045038</v>
      </c>
      <c r="CL14" s="28">
        <f t="shared" ca="1" si="44"/>
        <v>4.2338838317472529</v>
      </c>
      <c r="CM14" s="28">
        <f t="shared" si="17"/>
        <v>0.93715850730047112</v>
      </c>
      <c r="CN14" s="29">
        <f t="shared" ca="1" si="45"/>
        <v>3.9678202518438548</v>
      </c>
      <c r="CO14" s="33"/>
      <c r="CP14" s="27">
        <v>3</v>
      </c>
      <c r="CQ14" s="30">
        <f t="shared" si="46"/>
        <v>42391</v>
      </c>
      <c r="CR14" s="26">
        <f t="shared" si="18"/>
        <v>42146</v>
      </c>
      <c r="CS14" s="55">
        <v>29</v>
      </c>
      <c r="CT14" s="56">
        <f t="shared" ca="1" si="59"/>
        <v>278.67143127126536</v>
      </c>
      <c r="CU14" s="28">
        <f t="shared" ca="1" si="47"/>
        <v>4.2543288452774597</v>
      </c>
      <c r="CV14" s="28">
        <f t="shared" si="19"/>
        <v>0.93715850730047112</v>
      </c>
      <c r="CW14" s="29">
        <f t="shared" ca="1" si="48"/>
        <v>3.9869804702055611</v>
      </c>
      <c r="CX14" s="33"/>
      <c r="CY14" s="33"/>
    </row>
    <row r="15" spans="1:103" ht="15.5" x14ac:dyDescent="0.35">
      <c r="A15" s="16"/>
      <c r="B15" s="11" t="s">
        <v>47</v>
      </c>
      <c r="C15" s="12">
        <v>47686</v>
      </c>
      <c r="D15" s="81" t="s">
        <v>43</v>
      </c>
      <c r="E15" s="82"/>
      <c r="F15" s="83"/>
      <c r="G15" s="33"/>
      <c r="L15" s="41"/>
      <c r="M15" s="27">
        <v>3.5</v>
      </c>
      <c r="N15" s="30">
        <f t="shared" si="20"/>
        <v>42573</v>
      </c>
      <c r="O15" s="26">
        <f t="shared" si="0"/>
        <v>42330</v>
      </c>
      <c r="P15" s="55">
        <v>35</v>
      </c>
      <c r="Q15" s="56">
        <f t="shared" ca="1" si="49"/>
        <v>289.95809037916399</v>
      </c>
      <c r="R15" s="28">
        <f t="shared" ca="1" si="21"/>
        <v>4.4266362798447503</v>
      </c>
      <c r="S15" s="28">
        <f t="shared" si="1"/>
        <v>0.92707576307770856</v>
      </c>
      <c r="T15" s="29">
        <f t="shared" ca="1" si="50"/>
        <v>4.1038272070045405</v>
      </c>
      <c r="U15" s="33"/>
      <c r="V15" s="27">
        <v>3.5</v>
      </c>
      <c r="W15" s="30">
        <f t="shared" si="22"/>
        <v>42573</v>
      </c>
      <c r="X15" s="26">
        <f t="shared" si="2"/>
        <v>42330</v>
      </c>
      <c r="Y15" s="55">
        <v>35</v>
      </c>
      <c r="Z15" s="56">
        <f t="shared" ca="1" si="51"/>
        <v>278.61517695016914</v>
      </c>
      <c r="AA15" s="28">
        <f t="shared" ca="1" si="23"/>
        <v>4.2534700404124637</v>
      </c>
      <c r="AB15" s="28">
        <f t="shared" si="3"/>
        <v>0.92707576307770856</v>
      </c>
      <c r="AC15" s="29">
        <f t="shared" ca="1" si="24"/>
        <v>3.9432889834435567</v>
      </c>
      <c r="AD15" s="16"/>
      <c r="AE15" s="27">
        <v>3.5</v>
      </c>
      <c r="AF15" s="30">
        <f t="shared" si="25"/>
        <v>42573</v>
      </c>
      <c r="AG15" s="26">
        <f t="shared" si="4"/>
        <v>42330</v>
      </c>
      <c r="AH15" s="55">
        <v>35</v>
      </c>
      <c r="AI15" s="56">
        <f t="shared" ca="1" si="52"/>
        <v>297.70354767850711</v>
      </c>
      <c r="AJ15" s="28">
        <f t="shared" ca="1" si="26"/>
        <v>4.5448820657803184</v>
      </c>
      <c r="AK15" s="28">
        <f t="shared" si="5"/>
        <v>0.92707576307770856</v>
      </c>
      <c r="AL15" s="29">
        <f t="shared" ca="1" si="27"/>
        <v>4.2134500092314813</v>
      </c>
      <c r="AM15" s="33"/>
      <c r="AN15" s="27">
        <v>3.5</v>
      </c>
      <c r="AO15" s="30">
        <f t="shared" si="28"/>
        <v>42573</v>
      </c>
      <c r="AP15" s="26">
        <f t="shared" si="6"/>
        <v>42330</v>
      </c>
      <c r="AQ15" s="55">
        <v>35</v>
      </c>
      <c r="AR15" s="56">
        <f t="shared" ca="1" si="53"/>
        <v>261.9546356486731</v>
      </c>
      <c r="AS15" s="28">
        <f t="shared" ca="1" si="29"/>
        <v>3.9991223984114606</v>
      </c>
      <c r="AT15" s="28">
        <f t="shared" si="7"/>
        <v>0.92707576307770856</v>
      </c>
      <c r="AU15" s="29">
        <f t="shared" ca="1" si="30"/>
        <v>3.7074894491484609</v>
      </c>
      <c r="AV15" s="33"/>
      <c r="AW15" s="27">
        <v>3.5</v>
      </c>
      <c r="AX15" s="30">
        <f t="shared" si="31"/>
        <v>42573</v>
      </c>
      <c r="AY15" s="26">
        <f t="shared" si="8"/>
        <v>42330</v>
      </c>
      <c r="AZ15" s="55">
        <v>35</v>
      </c>
      <c r="BA15" s="56">
        <f t="shared" ca="1" si="54"/>
        <v>259.2597743271624</v>
      </c>
      <c r="BB15" s="28">
        <f t="shared" ca="1" si="32"/>
        <v>3.9579813808273312</v>
      </c>
      <c r="BC15" s="28">
        <f t="shared" si="9"/>
        <v>0.92707576307770856</v>
      </c>
      <c r="BD15" s="29">
        <f t="shared" ca="1" si="33"/>
        <v>3.6693486088778609</v>
      </c>
      <c r="BE15" s="33"/>
      <c r="BF15" s="27">
        <v>3.5</v>
      </c>
      <c r="BG15" s="30">
        <f t="shared" si="34"/>
        <v>42573</v>
      </c>
      <c r="BH15" s="26">
        <f t="shared" si="10"/>
        <v>42330</v>
      </c>
      <c r="BI15" s="55">
        <v>35</v>
      </c>
      <c r="BJ15" s="56">
        <f t="shared" ca="1" si="55"/>
        <v>297.46731921141918</v>
      </c>
      <c r="BK15" s="28">
        <f t="shared" ca="1" si="35"/>
        <v>4.5412756911439827</v>
      </c>
      <c r="BL15" s="28">
        <f t="shared" si="11"/>
        <v>0.92707576307770856</v>
      </c>
      <c r="BM15" s="29">
        <f t="shared" ca="1" si="36"/>
        <v>4.2101066267135563</v>
      </c>
      <c r="BN15" s="33"/>
      <c r="BO15" s="27">
        <v>3.5</v>
      </c>
      <c r="BP15" s="30">
        <f t="shared" si="37"/>
        <v>42573</v>
      </c>
      <c r="BQ15" s="26">
        <f t="shared" si="12"/>
        <v>42330</v>
      </c>
      <c r="BR15" s="55">
        <v>35</v>
      </c>
      <c r="BS15" s="56">
        <f t="shared" ca="1" si="56"/>
        <v>279.72826873121471</v>
      </c>
      <c r="BT15" s="28">
        <f t="shared" ca="1" si="38"/>
        <v>4.2704630218958579</v>
      </c>
      <c r="BU15" s="28">
        <f t="shared" si="13"/>
        <v>0.92707576307770856</v>
      </c>
      <c r="BV15" s="29">
        <f t="shared" ca="1" si="39"/>
        <v>3.9590427647192397</v>
      </c>
      <c r="BW15" s="33"/>
      <c r="BX15" s="27">
        <v>3.5</v>
      </c>
      <c r="BY15" s="30">
        <f t="shared" si="40"/>
        <v>42573</v>
      </c>
      <c r="BZ15" s="26">
        <f t="shared" si="14"/>
        <v>42330</v>
      </c>
      <c r="CA15" s="55">
        <v>35</v>
      </c>
      <c r="CB15" s="56">
        <f t="shared" ca="1" si="57"/>
        <v>274.70131068086084</v>
      </c>
      <c r="CC15" s="28">
        <f t="shared" ca="1" si="41"/>
        <v>4.1937191212381606</v>
      </c>
      <c r="CD15" s="28">
        <f t="shared" si="15"/>
        <v>0.92707576307770856</v>
      </c>
      <c r="CE15" s="29">
        <f t="shared" ca="1" si="42"/>
        <v>3.8878953544554453</v>
      </c>
      <c r="CF15" s="33"/>
      <c r="CG15" s="27">
        <v>3.5</v>
      </c>
      <c r="CH15" s="30">
        <f t="shared" si="43"/>
        <v>42573</v>
      </c>
      <c r="CI15" s="26">
        <f t="shared" si="16"/>
        <v>42330</v>
      </c>
      <c r="CJ15" s="55">
        <v>35</v>
      </c>
      <c r="CK15" s="56">
        <f t="shared" ca="1" si="58"/>
        <v>284.1061994094506</v>
      </c>
      <c r="CL15" s="28">
        <f t="shared" ca="1" si="44"/>
        <v>4.3372985661139296</v>
      </c>
      <c r="CM15" s="28">
        <f t="shared" si="17"/>
        <v>0.92707576307770856</v>
      </c>
      <c r="CN15" s="29">
        <f t="shared" ca="1" si="45"/>
        <v>4.0210043778759221</v>
      </c>
      <c r="CO15" s="33"/>
      <c r="CP15" s="27">
        <v>3.5</v>
      </c>
      <c r="CQ15" s="30">
        <f t="shared" si="46"/>
        <v>42573</v>
      </c>
      <c r="CR15" s="26">
        <f t="shared" si="18"/>
        <v>42330</v>
      </c>
      <c r="CS15" s="55">
        <v>35</v>
      </c>
      <c r="CT15" s="56">
        <f t="shared" ca="1" si="59"/>
        <v>285.76279247554214</v>
      </c>
      <c r="CU15" s="28">
        <f t="shared" ca="1" si="47"/>
        <v>4.3625888932702122</v>
      </c>
      <c r="CV15" s="28">
        <f t="shared" si="19"/>
        <v>0.92707576307770856</v>
      </c>
      <c r="CW15" s="29">
        <f t="shared" ca="1" si="48"/>
        <v>4.0444504272228183</v>
      </c>
      <c r="CX15" s="33"/>
      <c r="CY15" s="33"/>
    </row>
    <row r="16" spans="1:103" ht="15.5" x14ac:dyDescent="0.35">
      <c r="A16" s="16"/>
      <c r="B16" s="11" t="s">
        <v>48</v>
      </c>
      <c r="C16" s="12">
        <v>41296</v>
      </c>
      <c r="D16" s="81" t="s">
        <v>17</v>
      </c>
      <c r="E16" s="82"/>
      <c r="F16" s="83"/>
      <c r="G16" s="33"/>
      <c r="H16" s="110" t="s">
        <v>159</v>
      </c>
      <c r="I16" s="110"/>
      <c r="J16" s="110"/>
      <c r="K16" s="110"/>
      <c r="L16" s="16"/>
      <c r="M16" s="27">
        <v>4</v>
      </c>
      <c r="N16" s="30">
        <f t="shared" si="20"/>
        <v>42757</v>
      </c>
      <c r="O16" s="26">
        <f t="shared" si="0"/>
        <v>42512</v>
      </c>
      <c r="P16" s="55">
        <v>41</v>
      </c>
      <c r="Q16" s="56">
        <f t="shared" ca="1" si="49"/>
        <v>298.08047495830618</v>
      </c>
      <c r="R16" s="28">
        <f t="shared" ca="1" si="21"/>
        <v>4.5506364145189231</v>
      </c>
      <c r="S16" s="28">
        <f t="shared" si="1"/>
        <v>0.917101497549073</v>
      </c>
      <c r="T16" s="29">
        <f t="shared" ca="1" si="50"/>
        <v>4.1733954705566481</v>
      </c>
      <c r="U16" s="33"/>
      <c r="V16" s="27">
        <v>4</v>
      </c>
      <c r="W16" s="30">
        <f t="shared" si="22"/>
        <v>42757</v>
      </c>
      <c r="X16" s="26">
        <f t="shared" si="2"/>
        <v>42512</v>
      </c>
      <c r="Y16" s="55">
        <v>41</v>
      </c>
      <c r="Z16" s="56">
        <f t="shared" ca="1" si="51"/>
        <v>284.46715705361123</v>
      </c>
      <c r="AA16" s="28">
        <f t="shared" ca="1" si="23"/>
        <v>4.3428091149006161</v>
      </c>
      <c r="AB16" s="28">
        <f t="shared" si="3"/>
        <v>0.917101497549073</v>
      </c>
      <c r="AC16" s="29">
        <f t="shared" ca="1" si="24"/>
        <v>3.9827967428451192</v>
      </c>
      <c r="AD16" s="16"/>
      <c r="AE16" s="27">
        <v>4</v>
      </c>
      <c r="AF16" s="30">
        <f t="shared" si="25"/>
        <v>42757</v>
      </c>
      <c r="AG16" s="26">
        <f t="shared" si="4"/>
        <v>42512</v>
      </c>
      <c r="AH16" s="55">
        <v>41</v>
      </c>
      <c r="AI16" s="56">
        <f t="shared" ca="1" si="52"/>
        <v>307.42908791921946</v>
      </c>
      <c r="AJ16" s="28">
        <f t="shared" ca="1" si="26"/>
        <v>4.6933567271161376</v>
      </c>
      <c r="AK16" s="28">
        <f t="shared" si="5"/>
        <v>0.917101497549073</v>
      </c>
      <c r="AL16" s="29">
        <f t="shared" ca="1" si="27"/>
        <v>4.3042844829702256</v>
      </c>
      <c r="AM16" s="33"/>
      <c r="AN16" s="27">
        <v>4</v>
      </c>
      <c r="AO16" s="30">
        <f t="shared" si="28"/>
        <v>42757</v>
      </c>
      <c r="AP16" s="26">
        <f t="shared" si="6"/>
        <v>42512</v>
      </c>
      <c r="AQ16" s="55">
        <v>41</v>
      </c>
      <c r="AR16" s="56">
        <f t="shared" ca="1" si="53"/>
        <v>264.64446770216472</v>
      </c>
      <c r="AS16" s="28">
        <f t="shared" ca="1" si="29"/>
        <v>4.0401866368298647</v>
      </c>
      <c r="AT16" s="28">
        <f t="shared" si="7"/>
        <v>0.917101497549073</v>
      </c>
      <c r="AU16" s="29">
        <f t="shared" ca="1" si="30"/>
        <v>3.7052612150144215</v>
      </c>
      <c r="AV16" s="33"/>
      <c r="AW16" s="27">
        <v>4</v>
      </c>
      <c r="AX16" s="30">
        <f t="shared" si="31"/>
        <v>42757</v>
      </c>
      <c r="AY16" s="26">
        <f t="shared" si="8"/>
        <v>42512</v>
      </c>
      <c r="AZ16" s="55">
        <v>41</v>
      </c>
      <c r="BA16" s="56">
        <f t="shared" ca="1" si="54"/>
        <v>261.45803502880437</v>
      </c>
      <c r="BB16" s="28">
        <f t="shared" ca="1" si="32"/>
        <v>3.9915410603028061</v>
      </c>
      <c r="BC16" s="28">
        <f t="shared" si="9"/>
        <v>0.917101497549073</v>
      </c>
      <c r="BD16" s="29">
        <f t="shared" ca="1" si="33"/>
        <v>3.6606482839323182</v>
      </c>
      <c r="BE16" s="33"/>
      <c r="BF16" s="27">
        <v>4</v>
      </c>
      <c r="BG16" s="30">
        <f t="shared" si="34"/>
        <v>42757</v>
      </c>
      <c r="BH16" s="26">
        <f t="shared" si="10"/>
        <v>42512</v>
      </c>
      <c r="BI16" s="55">
        <v>41</v>
      </c>
      <c r="BJ16" s="56">
        <f t="shared" ca="1" si="55"/>
        <v>307.14334238951579</v>
      </c>
      <c r="BK16" s="28">
        <f t="shared" ca="1" si="35"/>
        <v>4.688994401764444</v>
      </c>
      <c r="BL16" s="28">
        <f t="shared" si="11"/>
        <v>0.917101497549073</v>
      </c>
      <c r="BM16" s="29">
        <f t="shared" ca="1" si="36"/>
        <v>4.3002837878573912</v>
      </c>
      <c r="BN16" s="33"/>
      <c r="BO16" s="27">
        <v>4</v>
      </c>
      <c r="BP16" s="30">
        <f t="shared" si="37"/>
        <v>42757</v>
      </c>
      <c r="BQ16" s="26">
        <f t="shared" si="12"/>
        <v>42512</v>
      </c>
      <c r="BR16" s="55">
        <v>41</v>
      </c>
      <c r="BS16" s="56">
        <f t="shared" ca="1" si="56"/>
        <v>285.7989069746846</v>
      </c>
      <c r="BT16" s="28">
        <f t="shared" ca="1" si="38"/>
        <v>4.3631402341620067</v>
      </c>
      <c r="BU16" s="28">
        <f t="shared" si="13"/>
        <v>0.917101497549073</v>
      </c>
      <c r="BV16" s="29">
        <f t="shared" ca="1" si="39"/>
        <v>4.0014424427665896</v>
      </c>
      <c r="BW16" s="33"/>
      <c r="BX16" s="27">
        <v>4</v>
      </c>
      <c r="BY16" s="30">
        <f t="shared" si="40"/>
        <v>42757</v>
      </c>
      <c r="BZ16" s="26">
        <f t="shared" si="14"/>
        <v>42512</v>
      </c>
      <c r="CA16" s="55">
        <v>41</v>
      </c>
      <c r="CB16" s="56">
        <f t="shared" ca="1" si="57"/>
        <v>279.79170213767014</v>
      </c>
      <c r="CC16" s="28">
        <f t="shared" ca="1" si="41"/>
        <v>4.2714314260469628</v>
      </c>
      <c r="CD16" s="28">
        <f t="shared" si="15"/>
        <v>0.917101497549073</v>
      </c>
      <c r="CE16" s="29">
        <f t="shared" ca="1" si="42"/>
        <v>3.9173361575058419</v>
      </c>
      <c r="CF16" s="33"/>
      <c r="CG16" s="27">
        <v>4</v>
      </c>
      <c r="CH16" s="30">
        <f t="shared" si="43"/>
        <v>42757</v>
      </c>
      <c r="CI16" s="26">
        <f t="shared" si="16"/>
        <v>42512</v>
      </c>
      <c r="CJ16" s="55">
        <v>41</v>
      </c>
      <c r="CK16" s="56">
        <f t="shared" ca="1" si="58"/>
        <v>291.04563570752435</v>
      </c>
      <c r="CL16" s="28">
        <f t="shared" ca="1" si="44"/>
        <v>4.4432392571929604</v>
      </c>
      <c r="CM16" s="28">
        <f t="shared" si="17"/>
        <v>0.917101497549073</v>
      </c>
      <c r="CN16" s="29">
        <f t="shared" ca="1" si="45"/>
        <v>4.0749013767404945</v>
      </c>
      <c r="CO16" s="33"/>
      <c r="CP16" s="27">
        <v>4</v>
      </c>
      <c r="CQ16" s="30">
        <f t="shared" si="46"/>
        <v>42757</v>
      </c>
      <c r="CR16" s="26">
        <f t="shared" si="18"/>
        <v>42512</v>
      </c>
      <c r="CS16" s="55">
        <v>41</v>
      </c>
      <c r="CT16" s="56">
        <f t="shared" ca="1" si="59"/>
        <v>293.03460778485623</v>
      </c>
      <c r="CU16" s="28">
        <f t="shared" ca="1" si="47"/>
        <v>4.4736038383143297</v>
      </c>
      <c r="CV16" s="28">
        <f t="shared" si="19"/>
        <v>0.917101497549073</v>
      </c>
      <c r="CW16" s="29">
        <f t="shared" ca="1" si="48"/>
        <v>4.1027487795593531</v>
      </c>
      <c r="CX16" s="33"/>
      <c r="CY16" s="33"/>
    </row>
    <row r="17" spans="1:103" ht="15.5" x14ac:dyDescent="0.35">
      <c r="A17" s="16"/>
      <c r="B17" s="11" t="s">
        <v>49</v>
      </c>
      <c r="C17" s="13">
        <v>135.1</v>
      </c>
      <c r="D17" s="81" t="s">
        <v>38</v>
      </c>
      <c r="E17" s="82"/>
      <c r="F17" s="83"/>
      <c r="G17" s="33"/>
      <c r="H17" s="69" t="s">
        <v>78</v>
      </c>
      <c r="I17" s="69" t="s">
        <v>79</v>
      </c>
      <c r="J17" s="69" t="s">
        <v>80</v>
      </c>
      <c r="K17" s="69" t="s">
        <v>81</v>
      </c>
      <c r="L17" s="16"/>
      <c r="M17" s="27">
        <v>4.5</v>
      </c>
      <c r="N17" s="30">
        <f t="shared" si="20"/>
        <v>42938</v>
      </c>
      <c r="O17" s="26">
        <f t="shared" si="0"/>
        <v>42696</v>
      </c>
      <c r="P17" s="55">
        <v>47</v>
      </c>
      <c r="Q17" s="56">
        <f t="shared" ca="1" si="49"/>
        <v>306.43038597468353</v>
      </c>
      <c r="R17" s="28">
        <f t="shared" ca="1" si="21"/>
        <v>4.6781100745579929</v>
      </c>
      <c r="S17" s="28">
        <f t="shared" si="1"/>
        <v>0.90723454360898015</v>
      </c>
      <c r="T17" s="29">
        <f t="shared" ca="1" si="50"/>
        <v>4.2441430584441928</v>
      </c>
      <c r="U17" s="33"/>
      <c r="V17" s="27">
        <v>4.5</v>
      </c>
      <c r="W17" s="30">
        <f t="shared" si="22"/>
        <v>42938</v>
      </c>
      <c r="X17" s="26">
        <f t="shared" si="2"/>
        <v>42696</v>
      </c>
      <c r="Y17" s="55">
        <v>47</v>
      </c>
      <c r="Z17" s="56">
        <f t="shared" ca="1" si="51"/>
        <v>290.4420510324062</v>
      </c>
      <c r="AA17" s="28">
        <f t="shared" ca="1" si="23"/>
        <v>4.4340246502911747</v>
      </c>
      <c r="AB17" s="28">
        <f t="shared" si="3"/>
        <v>0.90723454360898015</v>
      </c>
      <c r="AC17" s="29">
        <f t="shared" ca="1" si="24"/>
        <v>4.0227003299578818</v>
      </c>
      <c r="AD17" s="16"/>
      <c r="AE17" s="27">
        <v>4.5</v>
      </c>
      <c r="AF17" s="30">
        <f t="shared" si="25"/>
        <v>42938</v>
      </c>
      <c r="AG17" s="26">
        <f t="shared" si="4"/>
        <v>42696</v>
      </c>
      <c r="AH17" s="55">
        <v>47</v>
      </c>
      <c r="AI17" s="56">
        <f t="shared" ca="1" si="52"/>
        <v>317.47234735982477</v>
      </c>
      <c r="AJ17" s="28">
        <f t="shared" ca="1" si="26"/>
        <v>4.8466818388574282</v>
      </c>
      <c r="AK17" s="28">
        <f t="shared" si="5"/>
        <v>0.90723454360898015</v>
      </c>
      <c r="AL17" s="29">
        <f t="shared" ca="1" si="27"/>
        <v>4.3970771860937514</v>
      </c>
      <c r="AM17" s="33"/>
      <c r="AN17" s="27">
        <v>4.5</v>
      </c>
      <c r="AO17" s="30">
        <f t="shared" si="28"/>
        <v>42938</v>
      </c>
      <c r="AP17" s="26">
        <f t="shared" si="6"/>
        <v>42696</v>
      </c>
      <c r="AQ17" s="55">
        <v>47</v>
      </c>
      <c r="AR17" s="56">
        <f t="shared" ca="1" si="53"/>
        <v>267.3619197916907</v>
      </c>
      <c r="AS17" s="28">
        <f t="shared" ca="1" si="29"/>
        <v>4.0816725356799557</v>
      </c>
      <c r="AT17" s="28">
        <f t="shared" si="7"/>
        <v>0.90723454360898015</v>
      </c>
      <c r="AU17" s="29">
        <f t="shared" ca="1" si="30"/>
        <v>3.7030343200689133</v>
      </c>
      <c r="AV17" s="33"/>
      <c r="AW17" s="27">
        <v>4.5</v>
      </c>
      <c r="AX17" s="30">
        <f t="shared" si="31"/>
        <v>42938</v>
      </c>
      <c r="AY17" s="26">
        <f t="shared" si="8"/>
        <v>42696</v>
      </c>
      <c r="AZ17" s="55">
        <v>47</v>
      </c>
      <c r="BA17" s="56">
        <f t="shared" ca="1" si="54"/>
        <v>263.67493475813552</v>
      </c>
      <c r="BB17" s="28">
        <f t="shared" ca="1" si="32"/>
        <v>4.0253852919219435</v>
      </c>
      <c r="BC17" s="28">
        <f t="shared" si="9"/>
        <v>0.90723454360898015</v>
      </c>
      <c r="BD17" s="29">
        <f t="shared" ca="1" si="33"/>
        <v>3.6519685881671058</v>
      </c>
      <c r="BE17" s="33"/>
      <c r="BF17" s="27">
        <v>4.5</v>
      </c>
      <c r="BG17" s="30">
        <f t="shared" si="34"/>
        <v>42938</v>
      </c>
      <c r="BH17" s="26">
        <f t="shared" si="10"/>
        <v>42696</v>
      </c>
      <c r="BI17" s="55">
        <v>47</v>
      </c>
      <c r="BJ17" s="56">
        <f t="shared" ca="1" si="55"/>
        <v>317.1341074518345</v>
      </c>
      <c r="BK17" s="28">
        <f t="shared" ca="1" si="35"/>
        <v>4.841518109692144</v>
      </c>
      <c r="BL17" s="28">
        <f t="shared" si="11"/>
        <v>0.90723454360898015</v>
      </c>
      <c r="BM17" s="29">
        <f t="shared" ca="1" si="36"/>
        <v>4.3923924726211645</v>
      </c>
      <c r="BN17" s="33"/>
      <c r="BO17" s="27">
        <v>4.5</v>
      </c>
      <c r="BP17" s="30">
        <f t="shared" si="37"/>
        <v>42938</v>
      </c>
      <c r="BQ17" s="26">
        <f t="shared" si="12"/>
        <v>42696</v>
      </c>
      <c r="BR17" s="55">
        <v>47</v>
      </c>
      <c r="BS17" s="56">
        <f t="shared" ca="1" si="56"/>
        <v>292.00128967448074</v>
      </c>
      <c r="BT17" s="28">
        <f t="shared" ca="1" si="38"/>
        <v>4.4578287191237349</v>
      </c>
      <c r="BU17" s="28">
        <f t="shared" si="13"/>
        <v>0.90723454360898015</v>
      </c>
      <c r="BV17" s="29">
        <f t="shared" ca="1" si="39"/>
        <v>4.0442962034812258</v>
      </c>
      <c r="BW17" s="33"/>
      <c r="BX17" s="27">
        <v>4.5</v>
      </c>
      <c r="BY17" s="30">
        <f t="shared" si="40"/>
        <v>42938</v>
      </c>
      <c r="BZ17" s="26">
        <f t="shared" si="14"/>
        <v>42696</v>
      </c>
      <c r="CA17" s="55">
        <v>47</v>
      </c>
      <c r="CB17" s="56">
        <f t="shared" ca="1" si="57"/>
        <v>284.97642181271516</v>
      </c>
      <c r="CC17" s="28">
        <f t="shared" ca="1" si="41"/>
        <v>4.3505837897018873</v>
      </c>
      <c r="CD17" s="28">
        <f t="shared" si="15"/>
        <v>0.90723454360898015</v>
      </c>
      <c r="CE17" s="29">
        <f t="shared" ca="1" si="42"/>
        <v>3.9469998988828192</v>
      </c>
      <c r="CF17" s="33"/>
      <c r="CG17" s="27">
        <v>4.5</v>
      </c>
      <c r="CH17" s="30">
        <f t="shared" si="43"/>
        <v>42938</v>
      </c>
      <c r="CI17" s="26">
        <f t="shared" si="16"/>
        <v>42696</v>
      </c>
      <c r="CJ17" s="55">
        <v>47</v>
      </c>
      <c r="CK17" s="56">
        <f t="shared" ca="1" si="58"/>
        <v>298.15457121482029</v>
      </c>
      <c r="CL17" s="28">
        <f t="shared" ca="1" si="44"/>
        <v>4.5517676027429079</v>
      </c>
      <c r="CM17" s="28">
        <f t="shared" si="17"/>
        <v>0.90723454360898015</v>
      </c>
      <c r="CN17" s="29">
        <f t="shared" ca="1" si="45"/>
        <v>4.129520803688604</v>
      </c>
      <c r="CO17" s="33"/>
      <c r="CP17" s="27">
        <v>4.5</v>
      </c>
      <c r="CQ17" s="30">
        <f t="shared" si="46"/>
        <v>42938</v>
      </c>
      <c r="CR17" s="26">
        <f t="shared" si="18"/>
        <v>42696</v>
      </c>
      <c r="CS17" s="55">
        <v>47</v>
      </c>
      <c r="CT17" s="56">
        <f t="shared" ca="1" si="59"/>
        <v>300.49146922083605</v>
      </c>
      <c r="CU17" s="28">
        <f t="shared" ca="1" si="47"/>
        <v>4.587443784366946</v>
      </c>
      <c r="CV17" s="28">
        <f t="shared" si="19"/>
        <v>0.90723454360898015</v>
      </c>
      <c r="CW17" s="29">
        <f t="shared" ca="1" si="48"/>
        <v>4.161887468041999</v>
      </c>
      <c r="CX17" s="33"/>
      <c r="CY17" s="33"/>
    </row>
    <row r="18" spans="1:103" ht="16.5" x14ac:dyDescent="0.4">
      <c r="A18" s="16"/>
      <c r="B18" s="11" t="s">
        <v>50</v>
      </c>
      <c r="C18" s="13">
        <v>246.8</v>
      </c>
      <c r="D18" s="81" t="s">
        <v>39</v>
      </c>
      <c r="E18" s="82"/>
      <c r="F18" s="83"/>
      <c r="G18" s="33"/>
      <c r="H18" s="70" t="s">
        <v>97</v>
      </c>
      <c r="I18" s="57">
        <f ca="1">-$T$8</f>
        <v>493.88012616005091</v>
      </c>
      <c r="J18" s="58"/>
      <c r="K18" s="59"/>
      <c r="L18" s="16"/>
      <c r="M18" s="27">
        <v>5</v>
      </c>
      <c r="N18" s="30">
        <f t="shared" si="20"/>
        <v>43122</v>
      </c>
      <c r="O18" s="26">
        <f t="shared" si="0"/>
        <v>42877</v>
      </c>
      <c r="P18" s="55">
        <v>53</v>
      </c>
      <c r="Q18" s="56">
        <f t="shared" ca="1" si="49"/>
        <v>315.01419696049425</v>
      </c>
      <c r="R18" s="28">
        <f t="shared" ca="1" si="21"/>
        <v>4.8091545612954807</v>
      </c>
      <c r="S18" s="28">
        <f t="shared" si="1"/>
        <v>0.89747374670855684</v>
      </c>
      <c r="T18" s="29">
        <f t="shared" ca="1" si="50"/>
        <v>4.3160899626264007</v>
      </c>
      <c r="U18" s="33"/>
      <c r="V18" s="27">
        <v>5</v>
      </c>
      <c r="W18" s="30">
        <f t="shared" si="22"/>
        <v>43122</v>
      </c>
      <c r="X18" s="26">
        <f t="shared" si="2"/>
        <v>42877</v>
      </c>
      <c r="Y18" s="55">
        <v>53</v>
      </c>
      <c r="Z18" s="56">
        <f t="shared" ca="1" si="51"/>
        <v>296.54244054617817</v>
      </c>
      <c r="AA18" s="28">
        <f t="shared" ca="1" si="23"/>
        <v>4.5271560594114915</v>
      </c>
      <c r="AB18" s="28">
        <f t="shared" si="3"/>
        <v>0.89747374670855684</v>
      </c>
      <c r="AC18" s="29">
        <f t="shared" ca="1" si="24"/>
        <v>4.0630037105743773</v>
      </c>
      <c r="AD18" s="16"/>
      <c r="AE18" s="27">
        <v>5</v>
      </c>
      <c r="AF18" s="30">
        <f t="shared" si="25"/>
        <v>43122</v>
      </c>
      <c r="AG18" s="26">
        <f t="shared" si="4"/>
        <v>42877</v>
      </c>
      <c r="AH18" s="55">
        <v>53</v>
      </c>
      <c r="AI18" s="56">
        <f t="shared" ca="1" si="52"/>
        <v>327.84370542269784</v>
      </c>
      <c r="AJ18" s="28">
        <f t="shared" ca="1" si="26"/>
        <v>5.0050158581370416</v>
      </c>
      <c r="AK18" s="28">
        <f t="shared" si="5"/>
        <v>0.89747374670855684</v>
      </c>
      <c r="AL18" s="29">
        <f t="shared" ca="1" si="27"/>
        <v>4.4918703345379933</v>
      </c>
      <c r="AM18" s="33"/>
      <c r="AN18" s="27">
        <v>5</v>
      </c>
      <c r="AO18" s="30">
        <f t="shared" si="28"/>
        <v>43122</v>
      </c>
      <c r="AP18" s="26">
        <f t="shared" si="6"/>
        <v>42877</v>
      </c>
      <c r="AQ18" s="55">
        <v>53</v>
      </c>
      <c r="AR18" s="56">
        <f t="shared" ca="1" si="53"/>
        <v>270.10727552841166</v>
      </c>
      <c r="AS18" s="28">
        <f t="shared" ca="1" si="29"/>
        <v>4.1235844247028055</v>
      </c>
      <c r="AT18" s="28">
        <f t="shared" si="7"/>
        <v>0.89747374670855684</v>
      </c>
      <c r="AU18" s="29">
        <f t="shared" ca="1" si="30"/>
        <v>3.7008087635070757</v>
      </c>
      <c r="AV18" s="33"/>
      <c r="AW18" s="27">
        <v>5</v>
      </c>
      <c r="AX18" s="30">
        <f t="shared" si="31"/>
        <v>43122</v>
      </c>
      <c r="AY18" s="26">
        <f t="shared" si="8"/>
        <v>42877</v>
      </c>
      <c r="AZ18" s="55">
        <v>53</v>
      </c>
      <c r="BA18" s="56">
        <f t="shared" ca="1" si="54"/>
        <v>265.91063155526143</v>
      </c>
      <c r="BB18" s="28">
        <f t="shared" ca="1" si="32"/>
        <v>4.0595164883991615</v>
      </c>
      <c r="BC18" s="28">
        <f t="shared" si="9"/>
        <v>0.89747374670855684</v>
      </c>
      <c r="BD18" s="29">
        <f t="shared" ca="1" si="33"/>
        <v>3.6433094726687592</v>
      </c>
      <c r="BE18" s="33"/>
      <c r="BF18" s="27">
        <v>5</v>
      </c>
      <c r="BG18" s="30">
        <f t="shared" si="34"/>
        <v>43122</v>
      </c>
      <c r="BH18" s="26">
        <f t="shared" si="10"/>
        <v>42877</v>
      </c>
      <c r="BI18" s="55">
        <v>53</v>
      </c>
      <c r="BJ18" s="56">
        <f t="shared" ca="1" si="55"/>
        <v>327.44985232896499</v>
      </c>
      <c r="BK18" s="28">
        <f t="shared" ca="1" si="35"/>
        <v>4.9990031119799436</v>
      </c>
      <c r="BL18" s="28">
        <f t="shared" si="11"/>
        <v>0.89747374670855684</v>
      </c>
      <c r="BM18" s="29">
        <f t="shared" ca="1" si="36"/>
        <v>4.4864740527163756</v>
      </c>
      <c r="BN18" s="33"/>
      <c r="BO18" s="27">
        <v>5</v>
      </c>
      <c r="BP18" s="30">
        <f t="shared" si="37"/>
        <v>43122</v>
      </c>
      <c r="BQ18" s="26">
        <f t="shared" si="12"/>
        <v>42877</v>
      </c>
      <c r="BR18" s="55">
        <v>53</v>
      </c>
      <c r="BS18" s="56">
        <f t="shared" ca="1" si="56"/>
        <v>298.3382759371874</v>
      </c>
      <c r="BT18" s="28">
        <f t="shared" ca="1" si="38"/>
        <v>4.5545721252438858</v>
      </c>
      <c r="BU18" s="28">
        <f t="shared" si="13"/>
        <v>0.89747374670855684</v>
      </c>
      <c r="BV18" s="29">
        <f t="shared" ca="1" si="39"/>
        <v>4.0876089098969848</v>
      </c>
      <c r="BW18" s="33"/>
      <c r="BX18" s="27">
        <v>5</v>
      </c>
      <c r="BY18" s="30">
        <f t="shared" si="40"/>
        <v>43122</v>
      </c>
      <c r="BZ18" s="26">
        <f t="shared" si="14"/>
        <v>42877</v>
      </c>
      <c r="CA18" s="55">
        <v>53</v>
      </c>
      <c r="CB18" s="56">
        <f t="shared" ca="1" si="57"/>
        <v>290.25721766837393</v>
      </c>
      <c r="CC18" s="28">
        <f t="shared" ca="1" si="41"/>
        <v>4.4312028974168856</v>
      </c>
      <c r="CD18" s="28">
        <f t="shared" si="15"/>
        <v>0.89747374670855684</v>
      </c>
      <c r="CE18" s="29">
        <f t="shared" ca="1" si="42"/>
        <v>3.976888266770545</v>
      </c>
      <c r="CF18" s="33"/>
      <c r="CG18" s="27">
        <v>5</v>
      </c>
      <c r="CH18" s="30">
        <f t="shared" si="43"/>
        <v>43122</v>
      </c>
      <c r="CI18" s="26">
        <f t="shared" si="16"/>
        <v>42877</v>
      </c>
      <c r="CJ18" s="55">
        <v>53</v>
      </c>
      <c r="CK18" s="56">
        <f t="shared" ca="1" si="58"/>
        <v>305.43714603446676</v>
      </c>
      <c r="CL18" s="28">
        <f t="shared" ca="1" si="44"/>
        <v>4.6629468075210045</v>
      </c>
      <c r="CM18" s="28">
        <f t="shared" si="17"/>
        <v>0.89747374670855684</v>
      </c>
      <c r="CN18" s="29">
        <f t="shared" ca="1" si="45"/>
        <v>4.1848723420485801</v>
      </c>
      <c r="CO18" s="33"/>
      <c r="CP18" s="27">
        <v>5</v>
      </c>
      <c r="CQ18" s="30">
        <f t="shared" si="46"/>
        <v>43122</v>
      </c>
      <c r="CR18" s="26">
        <f t="shared" si="18"/>
        <v>42877</v>
      </c>
      <c r="CS18" s="55">
        <v>53</v>
      </c>
      <c r="CT18" s="56">
        <f t="shared" ca="1" si="59"/>
        <v>308.13808565843743</v>
      </c>
      <c r="CU18" s="28">
        <f t="shared" ca="1" si="47"/>
        <v>4.7041806193229263</v>
      </c>
      <c r="CV18" s="28">
        <f t="shared" si="19"/>
        <v>0.89747374670855684</v>
      </c>
      <c r="CW18" s="29">
        <f t="shared" ca="1" si="48"/>
        <v>4.2218786056175261</v>
      </c>
      <c r="CX18" s="33"/>
      <c r="CY18" s="33"/>
    </row>
    <row r="19" spans="1:103" ht="16.5" x14ac:dyDescent="0.4">
      <c r="A19" s="16"/>
      <c r="B19" s="11" t="s">
        <v>75</v>
      </c>
      <c r="C19" s="13">
        <v>245.6</v>
      </c>
      <c r="D19" s="81" t="s">
        <v>76</v>
      </c>
      <c r="E19" s="82"/>
      <c r="F19" s="83"/>
      <c r="G19" s="33"/>
      <c r="H19" s="70" t="s">
        <v>98</v>
      </c>
      <c r="I19" s="57">
        <f ca="1">-$AC$8</f>
        <v>407.53782197547957</v>
      </c>
      <c r="J19" s="60"/>
      <c r="K19" s="59"/>
      <c r="L19" s="16"/>
      <c r="M19" s="27">
        <v>5.5</v>
      </c>
      <c r="N19" s="30">
        <f t="shared" si="20"/>
        <v>43303</v>
      </c>
      <c r="O19" s="26">
        <f t="shared" si="0"/>
        <v>43061</v>
      </c>
      <c r="P19" s="55">
        <v>59</v>
      </c>
      <c r="Q19" s="56">
        <f t="shared" ca="1" si="49"/>
        <v>323.83845998504694</v>
      </c>
      <c r="R19" s="28">
        <f t="shared" ca="1" si="21"/>
        <v>4.9438699016962202</v>
      </c>
      <c r="S19" s="28">
        <f t="shared" si="1"/>
        <v>0.88781796472054175</v>
      </c>
      <c r="T19" s="29">
        <f t="shared" ca="1" si="50"/>
        <v>4.3892565139670827</v>
      </c>
      <c r="U19" s="33"/>
      <c r="V19" s="27">
        <v>5.5</v>
      </c>
      <c r="W19" s="30">
        <f t="shared" si="22"/>
        <v>43303</v>
      </c>
      <c r="X19" s="26">
        <f t="shared" si="2"/>
        <v>43061</v>
      </c>
      <c r="Y19" s="55">
        <v>59</v>
      </c>
      <c r="Z19" s="56">
        <f t="shared" ca="1" si="51"/>
        <v>302.77096147923834</v>
      </c>
      <c r="AA19" s="28">
        <f t="shared" ca="1" si="23"/>
        <v>4.6222435829084318</v>
      </c>
      <c r="AB19" s="28">
        <f t="shared" si="3"/>
        <v>0.88781796472054175</v>
      </c>
      <c r="AC19" s="29">
        <f t="shared" ca="1" si="24"/>
        <v>4.1037108902203485</v>
      </c>
      <c r="AD19" s="16"/>
      <c r="AE19" s="27">
        <v>5.5</v>
      </c>
      <c r="AF19" s="30">
        <f t="shared" si="25"/>
        <v>43303</v>
      </c>
      <c r="AG19" s="26">
        <f t="shared" si="4"/>
        <v>43061</v>
      </c>
      <c r="AH19" s="55">
        <v>59</v>
      </c>
      <c r="AI19" s="56">
        <f t="shared" ca="1" si="52"/>
        <v>338.55388061078776</v>
      </c>
      <c r="AJ19" s="28">
        <f t="shared" ca="1" si="26"/>
        <v>5.1685224186509977</v>
      </c>
      <c r="AK19" s="28">
        <f t="shared" si="5"/>
        <v>0.88781796472054175</v>
      </c>
      <c r="AL19" s="29">
        <f t="shared" ca="1" si="27"/>
        <v>4.5887070543392205</v>
      </c>
      <c r="AM19" s="33"/>
      <c r="AN19" s="27">
        <v>5.5</v>
      </c>
      <c r="AO19" s="30">
        <f t="shared" si="28"/>
        <v>43303</v>
      </c>
      <c r="AP19" s="26">
        <f t="shared" si="6"/>
        <v>43061</v>
      </c>
      <c r="AQ19" s="55">
        <v>59</v>
      </c>
      <c r="AR19" s="56">
        <f t="shared" ca="1" si="53"/>
        <v>272.88082143569625</v>
      </c>
      <c r="AS19" s="28">
        <f t="shared" ca="1" si="29"/>
        <v>4.1659266780986197</v>
      </c>
      <c r="AT19" s="28">
        <f t="shared" si="7"/>
        <v>0.88781796472054175</v>
      </c>
      <c r="AU19" s="29">
        <f t="shared" ca="1" si="30"/>
        <v>3.698584544524524</v>
      </c>
      <c r="AV19" s="33"/>
      <c r="AW19" s="27">
        <v>5.5</v>
      </c>
      <c r="AX19" s="30">
        <f t="shared" si="31"/>
        <v>43303</v>
      </c>
      <c r="AY19" s="26">
        <f t="shared" si="8"/>
        <v>43061</v>
      </c>
      <c r="AZ19" s="55">
        <v>59</v>
      </c>
      <c r="BA19" s="56">
        <f t="shared" ca="1" si="54"/>
        <v>268.16528480030786</v>
      </c>
      <c r="BB19" s="28">
        <f t="shared" ca="1" si="32"/>
        <v>4.0939370829062547</v>
      </c>
      <c r="BC19" s="28">
        <f t="shared" si="9"/>
        <v>0.88781796472054175</v>
      </c>
      <c r="BD19" s="29">
        <f t="shared" ca="1" si="33"/>
        <v>3.6346708886397829</v>
      </c>
      <c r="BE19" s="33"/>
      <c r="BF19" s="27">
        <v>5.5</v>
      </c>
      <c r="BG19" s="30">
        <f t="shared" si="34"/>
        <v>43303</v>
      </c>
      <c r="BH19" s="26">
        <f t="shared" si="10"/>
        <v>43061</v>
      </c>
      <c r="BI19" s="55">
        <v>59</v>
      </c>
      <c r="BJ19" s="56">
        <f t="shared" ca="1" si="55"/>
        <v>338.1011479711176</v>
      </c>
      <c r="BK19" s="28">
        <f t="shared" ca="1" si="35"/>
        <v>5.1616107897145085</v>
      </c>
      <c r="BL19" s="28">
        <f t="shared" si="11"/>
        <v>0.88781796472054175</v>
      </c>
      <c r="BM19" s="29">
        <f t="shared" ca="1" si="36"/>
        <v>4.5825707860039229</v>
      </c>
      <c r="BN19" s="33"/>
      <c r="BO19" s="27">
        <v>5.5</v>
      </c>
      <c r="BP19" s="30">
        <f t="shared" si="37"/>
        <v>43303</v>
      </c>
      <c r="BQ19" s="26">
        <f t="shared" si="12"/>
        <v>43061</v>
      </c>
      <c r="BR19" s="55">
        <v>59</v>
      </c>
      <c r="BS19" s="56">
        <f t="shared" ca="1" si="56"/>
        <v>304.81278691746815</v>
      </c>
      <c r="BT19" s="28">
        <f t="shared" ca="1" si="38"/>
        <v>4.6534150482404</v>
      </c>
      <c r="BU19" s="28">
        <f t="shared" si="13"/>
        <v>0.88781796472054175</v>
      </c>
      <c r="BV19" s="29">
        <f t="shared" ca="1" si="39"/>
        <v>4.1313854771287337</v>
      </c>
      <c r="BW19" s="33"/>
      <c r="BX19" s="27">
        <v>5.5</v>
      </c>
      <c r="BY19" s="30">
        <f t="shared" si="40"/>
        <v>43303</v>
      </c>
      <c r="BZ19" s="26">
        <f t="shared" si="14"/>
        <v>43061</v>
      </c>
      <c r="CA19" s="55">
        <v>59</v>
      </c>
      <c r="CB19" s="56">
        <f t="shared" ca="1" si="57"/>
        <v>295.63587005788816</v>
      </c>
      <c r="CC19" s="28">
        <f t="shared" ca="1" si="41"/>
        <v>4.513315928900032</v>
      </c>
      <c r="CD19" s="28">
        <f t="shared" si="15"/>
        <v>0.88781796472054175</v>
      </c>
      <c r="CE19" s="29">
        <f t="shared" ca="1" si="42"/>
        <v>4.0070029621368279</v>
      </c>
      <c r="CF19" s="33"/>
      <c r="CG19" s="27">
        <v>5.5</v>
      </c>
      <c r="CH19" s="30">
        <f t="shared" si="43"/>
        <v>43303</v>
      </c>
      <c r="CI19" s="26">
        <f t="shared" si="16"/>
        <v>43061</v>
      </c>
      <c r="CJ19" s="55">
        <v>59</v>
      </c>
      <c r="CK19" s="56">
        <f t="shared" ca="1" si="58"/>
        <v>312.89760139368593</v>
      </c>
      <c r="CL19" s="28">
        <f t="shared" ca="1" si="44"/>
        <v>4.7768416200923562</v>
      </c>
      <c r="CM19" s="28">
        <f t="shared" si="17"/>
        <v>0.88781796472054175</v>
      </c>
      <c r="CN19" s="29">
        <f t="shared" ca="1" si="45"/>
        <v>4.2409658049427712</v>
      </c>
      <c r="CO19" s="33"/>
      <c r="CP19" s="27">
        <v>5.5</v>
      </c>
      <c r="CQ19" s="30">
        <f t="shared" si="46"/>
        <v>43303</v>
      </c>
      <c r="CR19" s="26">
        <f t="shared" si="18"/>
        <v>43061</v>
      </c>
      <c r="CS19" s="55">
        <v>59</v>
      </c>
      <c r="CT19" s="56">
        <f t="shared" ca="1" si="59"/>
        <v>315.97928579951434</v>
      </c>
      <c r="CU19" s="28">
        <f t="shared" ca="1" si="47"/>
        <v>4.8238880604107948</v>
      </c>
      <c r="CV19" s="28">
        <f t="shared" si="19"/>
        <v>0.88781796472054175</v>
      </c>
      <c r="CW19" s="29">
        <f t="shared" ca="1" si="48"/>
        <v>4.2827344798336338</v>
      </c>
      <c r="CX19" s="33"/>
      <c r="CY19" s="33"/>
    </row>
    <row r="20" spans="1:103" ht="16.5" x14ac:dyDescent="0.4">
      <c r="A20" s="16"/>
      <c r="B20" s="11" t="s">
        <v>51</v>
      </c>
      <c r="C20" s="13">
        <v>2.1870000000000001E-2</v>
      </c>
      <c r="D20" s="81" t="s">
        <v>9</v>
      </c>
      <c r="E20" s="82"/>
      <c r="F20" s="83"/>
      <c r="G20" s="33"/>
      <c r="H20" s="70" t="s">
        <v>99</v>
      </c>
      <c r="I20" s="57">
        <f ca="1">-$AL$8</f>
        <v>562.0273679280549</v>
      </c>
      <c r="J20" s="60"/>
      <c r="K20" s="59"/>
      <c r="L20" s="16"/>
      <c r="M20" s="27">
        <v>6</v>
      </c>
      <c r="N20" s="30">
        <f t="shared" si="20"/>
        <v>43487</v>
      </c>
      <c r="O20" s="26">
        <f t="shared" si="0"/>
        <v>43242</v>
      </c>
      <c r="P20" s="55">
        <v>65</v>
      </c>
      <c r="Q20" s="56">
        <f t="shared" ca="1" si="49"/>
        <v>332.90991065599093</v>
      </c>
      <c r="R20" s="28">
        <f t="shared" ca="1" si="21"/>
        <v>5.0823589247074858</v>
      </c>
      <c r="S20" s="28">
        <f t="shared" si="1"/>
        <v>0.87826606780564742</v>
      </c>
      <c r="T20" s="29">
        <f t="shared" ca="1" si="50"/>
        <v>4.463663387979782</v>
      </c>
      <c r="U20" s="33"/>
      <c r="V20" s="27">
        <v>6</v>
      </c>
      <c r="W20" s="30">
        <f t="shared" si="22"/>
        <v>43487</v>
      </c>
      <c r="X20" s="26">
        <f t="shared" si="2"/>
        <v>43242</v>
      </c>
      <c r="Y20" s="55">
        <v>65</v>
      </c>
      <c r="Z20" s="56">
        <f t="shared" ca="1" si="51"/>
        <v>309.1303050795097</v>
      </c>
      <c r="AA20" s="28">
        <f t="shared" ca="1" si="23"/>
        <v>4.7193283066357425</v>
      </c>
      <c r="AB20" s="28">
        <f t="shared" si="3"/>
        <v>0.87826606780564742</v>
      </c>
      <c r="AC20" s="29">
        <f t="shared" ca="1" si="24"/>
        <v>4.1448259145528583</v>
      </c>
      <c r="AD20" s="16"/>
      <c r="AE20" s="27">
        <v>6</v>
      </c>
      <c r="AF20" s="30">
        <f t="shared" si="25"/>
        <v>43487</v>
      </c>
      <c r="AG20" s="26">
        <f t="shared" si="4"/>
        <v>43242</v>
      </c>
      <c r="AH20" s="55">
        <v>65</v>
      </c>
      <c r="AI20" s="56">
        <f t="shared" ca="1" si="52"/>
        <v>349.61394158488559</v>
      </c>
      <c r="AJ20" s="28">
        <f t="shared" ca="1" si="26"/>
        <v>5.3373704997692561</v>
      </c>
      <c r="AK20" s="28">
        <f t="shared" si="5"/>
        <v>0.87826606780564742</v>
      </c>
      <c r="AL20" s="29">
        <f t="shared" ca="1" si="27"/>
        <v>4.6876314012542082</v>
      </c>
      <c r="AM20" s="33"/>
      <c r="AN20" s="27">
        <v>6</v>
      </c>
      <c r="AO20" s="30">
        <f t="shared" si="28"/>
        <v>43487</v>
      </c>
      <c r="AP20" s="26">
        <f t="shared" si="6"/>
        <v>43242</v>
      </c>
      <c r="AQ20" s="55">
        <v>65</v>
      </c>
      <c r="AR20" s="56">
        <f t="shared" ca="1" si="53"/>
        <v>275.68284697902459</v>
      </c>
      <c r="AS20" s="28">
        <f t="shared" ca="1" si="29"/>
        <v>4.2087037149832591</v>
      </c>
      <c r="AT20" s="28">
        <f t="shared" si="7"/>
        <v>0.87826606780564742</v>
      </c>
      <c r="AU20" s="29">
        <f t="shared" ca="1" si="30"/>
        <v>3.6963616623173672</v>
      </c>
      <c r="AV20" s="33"/>
      <c r="AW20" s="27">
        <v>6</v>
      </c>
      <c r="AX20" s="30">
        <f t="shared" si="31"/>
        <v>43487</v>
      </c>
      <c r="AY20" s="26">
        <f t="shared" si="8"/>
        <v>43242</v>
      </c>
      <c r="AZ20" s="55">
        <v>65</v>
      </c>
      <c r="BA20" s="56">
        <f t="shared" ca="1" si="54"/>
        <v>270.43905522478275</v>
      </c>
      <c r="BB20" s="28">
        <f t="shared" ca="1" si="32"/>
        <v>4.1286495292458509</v>
      </c>
      <c r="BC20" s="28">
        <f t="shared" si="9"/>
        <v>0.87826606780564742</v>
      </c>
      <c r="BD20" s="29">
        <f t="shared" ca="1" si="33"/>
        <v>3.626052787398391</v>
      </c>
      <c r="BE20" s="33"/>
      <c r="BF20" s="27">
        <v>6</v>
      </c>
      <c r="BG20" s="30">
        <f t="shared" si="34"/>
        <v>43487</v>
      </c>
      <c r="BH20" s="26">
        <f t="shared" si="10"/>
        <v>43242</v>
      </c>
      <c r="BI20" s="55">
        <v>65</v>
      </c>
      <c r="BJ20" s="56">
        <f t="shared" ca="1" si="55"/>
        <v>349.09890918059182</v>
      </c>
      <c r="BK20" s="28">
        <f t="shared" ca="1" si="35"/>
        <v>5.3295077733898637</v>
      </c>
      <c r="BL20" s="28">
        <f t="shared" si="11"/>
        <v>0.87826606780564742</v>
      </c>
      <c r="BM20" s="29">
        <f t="shared" ca="1" si="36"/>
        <v>4.680725835474747</v>
      </c>
      <c r="BN20" s="33"/>
      <c r="BO20" s="27">
        <v>6</v>
      </c>
      <c r="BP20" s="30">
        <f t="shared" si="37"/>
        <v>43487</v>
      </c>
      <c r="BQ20" s="26">
        <f t="shared" si="12"/>
        <v>43242</v>
      </c>
      <c r="BR20" s="55">
        <v>65</v>
      </c>
      <c r="BS20" s="56">
        <f t="shared" ca="1" si="56"/>
        <v>311.4278071646275</v>
      </c>
      <c r="BT20" s="28">
        <f t="shared" ca="1" si="38"/>
        <v>4.7544030516435551</v>
      </c>
      <c r="BU20" s="28">
        <f t="shared" si="13"/>
        <v>0.87826606780564742</v>
      </c>
      <c r="BV20" s="29">
        <f t="shared" ca="1" si="39"/>
        <v>4.1756308729301557</v>
      </c>
      <c r="BW20" s="33"/>
      <c r="BX20" s="27">
        <v>6</v>
      </c>
      <c r="BY20" s="30">
        <f t="shared" si="40"/>
        <v>43487</v>
      </c>
      <c r="BZ20" s="26">
        <f t="shared" si="14"/>
        <v>43242</v>
      </c>
      <c r="CA20" s="55">
        <v>65</v>
      </c>
      <c r="CB20" s="56">
        <f t="shared" ca="1" si="57"/>
        <v>301.11419232558711</v>
      </c>
      <c r="CC20" s="28">
        <f t="shared" ca="1" si="41"/>
        <v>4.5969505675168278</v>
      </c>
      <c r="CD20" s="28">
        <f t="shared" si="15"/>
        <v>0.87826606780564742</v>
      </c>
      <c r="CE20" s="29">
        <f t="shared" ca="1" si="42"/>
        <v>4.0373456988299434</v>
      </c>
      <c r="CF20" s="33"/>
      <c r="CG20" s="27">
        <v>6</v>
      </c>
      <c r="CH20" s="30">
        <f t="shared" si="43"/>
        <v>43487</v>
      </c>
      <c r="CI20" s="26">
        <f t="shared" si="16"/>
        <v>43242</v>
      </c>
      <c r="CJ20" s="55">
        <v>65</v>
      </c>
      <c r="CK20" s="56">
        <f t="shared" ca="1" si="58"/>
        <v>320.54028211380023</v>
      </c>
      <c r="CL20" s="28">
        <f t="shared" ca="1" si="44"/>
        <v>4.8935183705382155</v>
      </c>
      <c r="CM20" s="28">
        <f t="shared" si="17"/>
        <v>0.87826606780564742</v>
      </c>
      <c r="CN20" s="29">
        <f t="shared" ca="1" si="45"/>
        <v>4.2978111370272973</v>
      </c>
      <c r="CO20" s="33"/>
      <c r="CP20" s="27">
        <v>6</v>
      </c>
      <c r="CQ20" s="30">
        <f t="shared" si="46"/>
        <v>43487</v>
      </c>
      <c r="CR20" s="26">
        <f t="shared" si="18"/>
        <v>43242</v>
      </c>
      <c r="CS20" s="55">
        <v>65</v>
      </c>
      <c r="CT20" s="56">
        <f t="shared" ca="1" si="59"/>
        <v>324.02002122205789</v>
      </c>
      <c r="CU20" s="28">
        <f t="shared" ca="1" si="47"/>
        <v>4.9466417007438519</v>
      </c>
      <c r="CV20" s="28">
        <f t="shared" si="19"/>
        <v>0.87826606780564742</v>
      </c>
      <c r="CW20" s="29">
        <f t="shared" ca="1" si="48"/>
        <v>4.3444675553557426</v>
      </c>
      <c r="CX20" s="33"/>
      <c r="CY20" s="33"/>
    </row>
    <row r="21" spans="1:103" ht="16.5" x14ac:dyDescent="0.4">
      <c r="A21" s="16"/>
      <c r="B21" s="11" t="s">
        <v>163</v>
      </c>
      <c r="C21" s="13">
        <v>100</v>
      </c>
      <c r="D21" s="81" t="s">
        <v>91</v>
      </c>
      <c r="E21" s="82"/>
      <c r="F21" s="83"/>
      <c r="G21" s="33"/>
      <c r="H21" s="70" t="s">
        <v>100</v>
      </c>
      <c r="I21" s="57">
        <f ca="1">-$AU$8</f>
        <v>305.653912012891</v>
      </c>
      <c r="J21" s="60"/>
      <c r="K21" s="59"/>
      <c r="L21" s="16"/>
      <c r="M21" s="27">
        <v>6.5</v>
      </c>
      <c r="N21" s="30">
        <f t="shared" si="20"/>
        <v>43668</v>
      </c>
      <c r="O21" s="26">
        <f t="shared" si="0"/>
        <v>43426</v>
      </c>
      <c r="P21" s="55">
        <v>71</v>
      </c>
      <c r="Q21" s="56">
        <f t="shared" ca="1" si="49"/>
        <v>342.23547326064153</v>
      </c>
      <c r="R21" s="28">
        <f t="shared" ca="1" si="21"/>
        <v>5.2247273397488767</v>
      </c>
      <c r="S21" s="28">
        <f t="shared" si="1"/>
        <v>0.86881693828035056</v>
      </c>
      <c r="T21" s="29">
        <f t="shared" ca="1" si="50"/>
        <v>4.5393316106702599</v>
      </c>
      <c r="U21" s="33"/>
      <c r="V21" s="27">
        <v>6.5</v>
      </c>
      <c r="W21" s="30">
        <f t="shared" si="22"/>
        <v>43668</v>
      </c>
      <c r="X21" s="26">
        <f t="shared" si="2"/>
        <v>43426</v>
      </c>
      <c r="Y21" s="55">
        <v>71</v>
      </c>
      <c r="Z21" s="56">
        <f t="shared" ca="1" si="51"/>
        <v>315.62321912137401</v>
      </c>
      <c r="AA21" s="28">
        <f t="shared" ca="1" si="23"/>
        <v>4.8184521794066173</v>
      </c>
      <c r="AB21" s="28">
        <f t="shared" si="3"/>
        <v>0.86881693828035056</v>
      </c>
      <c r="AC21" s="29">
        <f t="shared" ca="1" si="24"/>
        <v>4.1863528697623398</v>
      </c>
      <c r="AD21" s="16"/>
      <c r="AE21" s="27">
        <v>6.5</v>
      </c>
      <c r="AF21" s="30">
        <f t="shared" si="25"/>
        <v>43668</v>
      </c>
      <c r="AG21" s="26">
        <f t="shared" si="4"/>
        <v>43426</v>
      </c>
      <c r="AH21" s="55">
        <v>71</v>
      </c>
      <c r="AI21" s="56">
        <f t="shared" ca="1" si="52"/>
        <v>361.03531860276968</v>
      </c>
      <c r="AJ21" s="28">
        <f t="shared" ca="1" si="26"/>
        <v>5.5117346011710771</v>
      </c>
      <c r="AK21" s="28">
        <f t="shared" si="5"/>
        <v>0.86881693828035056</v>
      </c>
      <c r="AL21" s="29">
        <f t="shared" ca="1" si="27"/>
        <v>4.7886883808033245</v>
      </c>
      <c r="AM21" s="33"/>
      <c r="AN21" s="27">
        <v>6.5</v>
      </c>
      <c r="AO21" s="30">
        <f t="shared" si="28"/>
        <v>43668</v>
      </c>
      <c r="AP21" s="26">
        <f t="shared" si="6"/>
        <v>43426</v>
      </c>
      <c r="AQ21" s="55">
        <v>71</v>
      </c>
      <c r="AR21" s="56">
        <f t="shared" ca="1" si="53"/>
        <v>278.51364459619879</v>
      </c>
      <c r="AS21" s="28">
        <f t="shared" ca="1" si="29"/>
        <v>4.251919999849445</v>
      </c>
      <c r="AT21" s="28">
        <f t="shared" si="7"/>
        <v>0.86881693828035056</v>
      </c>
      <c r="AU21" s="29">
        <f t="shared" ca="1" si="30"/>
        <v>3.6941401160821834</v>
      </c>
      <c r="AV21" s="33"/>
      <c r="AW21" s="27">
        <v>6.5</v>
      </c>
      <c r="AX21" s="30">
        <f t="shared" si="31"/>
        <v>43668</v>
      </c>
      <c r="AY21" s="26">
        <f t="shared" si="8"/>
        <v>43426</v>
      </c>
      <c r="AZ21" s="55">
        <v>71</v>
      </c>
      <c r="BA21" s="56">
        <f t="shared" ca="1" si="54"/>
        <v>272.73210492303491</v>
      </c>
      <c r="BB21" s="28">
        <f t="shared" ca="1" si="32"/>
        <v>4.1636563020263466</v>
      </c>
      <c r="BC21" s="28">
        <f t="shared" si="9"/>
        <v>0.86881693828035056</v>
      </c>
      <c r="BD21" s="29">
        <f t="shared" ca="1" si="33"/>
        <v>3.6174551203782173</v>
      </c>
      <c r="BE21" s="33"/>
      <c r="BF21" s="27">
        <v>6.5</v>
      </c>
      <c r="BG21" s="30">
        <f t="shared" si="34"/>
        <v>43668</v>
      </c>
      <c r="BH21" s="26">
        <f t="shared" si="10"/>
        <v>43426</v>
      </c>
      <c r="BI21" s="55">
        <v>71</v>
      </c>
      <c r="BJ21" s="56">
        <f t="shared" ca="1" si="55"/>
        <v>360.45440579660459</v>
      </c>
      <c r="BK21" s="28">
        <f t="shared" ca="1" si="35"/>
        <v>5.5028661136602297</v>
      </c>
      <c r="BL21" s="28">
        <f t="shared" si="11"/>
        <v>0.86881693828035056</v>
      </c>
      <c r="BM21" s="29">
        <f t="shared" ca="1" si="36"/>
        <v>4.7809832886369721</v>
      </c>
      <c r="BN21" s="33"/>
      <c r="BO21" s="27">
        <v>6.5</v>
      </c>
      <c r="BP21" s="30">
        <f t="shared" si="37"/>
        <v>43668</v>
      </c>
      <c r="BQ21" s="26">
        <f t="shared" si="12"/>
        <v>43426</v>
      </c>
      <c r="BR21" s="55">
        <v>71</v>
      </c>
      <c r="BS21" s="56">
        <f t="shared" ca="1" si="56"/>
        <v>318.18638599839625</v>
      </c>
      <c r="BT21" s="28">
        <f t="shared" ca="1" si="38"/>
        <v>4.8575826877993507</v>
      </c>
      <c r="BU21" s="28">
        <f t="shared" si="13"/>
        <v>0.86881693828035056</v>
      </c>
      <c r="BV21" s="29">
        <f t="shared" ca="1" si="39"/>
        <v>4.2203501182574676</v>
      </c>
      <c r="BW21" s="33"/>
      <c r="BX21" s="27">
        <v>6.5</v>
      </c>
      <c r="BY21" s="30">
        <f t="shared" si="40"/>
        <v>43668</v>
      </c>
      <c r="BZ21" s="26">
        <f t="shared" si="14"/>
        <v>43426</v>
      </c>
      <c r="CA21" s="55">
        <v>71</v>
      </c>
      <c r="CB21" s="56">
        <f t="shared" ca="1" si="57"/>
        <v>306.69403141823324</v>
      </c>
      <c r="CC21" s="28">
        <f t="shared" ca="1" si="41"/>
        <v>4.6821350096232877</v>
      </c>
      <c r="CD21" s="28">
        <f t="shared" si="15"/>
        <v>0.86881693828035056</v>
      </c>
      <c r="CE21" s="29">
        <f t="shared" ca="1" si="42"/>
        <v>4.0679182036761441</v>
      </c>
      <c r="CF21" s="33"/>
      <c r="CG21" s="27">
        <v>6.5</v>
      </c>
      <c r="CH21" s="30">
        <f t="shared" si="43"/>
        <v>43668</v>
      </c>
      <c r="CI21" s="26">
        <f t="shared" si="16"/>
        <v>43426</v>
      </c>
      <c r="CJ21" s="55">
        <v>71</v>
      </c>
      <c r="CK21" s="56">
        <f t="shared" ca="1" si="58"/>
        <v>328.3696391405702</v>
      </c>
      <c r="CL21" s="28">
        <f t="shared" ca="1" si="44"/>
        <v>5.0130450090853147</v>
      </c>
      <c r="CM21" s="28">
        <f t="shared" si="17"/>
        <v>0.86881693828035056</v>
      </c>
      <c r="CN21" s="29">
        <f t="shared" ca="1" si="45"/>
        <v>4.3554184162550955</v>
      </c>
      <c r="CO21" s="33"/>
      <c r="CP21" s="27">
        <v>6.5</v>
      </c>
      <c r="CQ21" s="30">
        <f t="shared" si="46"/>
        <v>43668</v>
      </c>
      <c r="CR21" s="26">
        <f t="shared" si="18"/>
        <v>43426</v>
      </c>
      <c r="CS21" s="55">
        <v>71</v>
      </c>
      <c r="CT21" s="56">
        <f t="shared" ca="1" si="59"/>
        <v>332.26536950702922</v>
      </c>
      <c r="CU21" s="28">
        <f t="shared" ca="1" si="47"/>
        <v>5.0725190570558683</v>
      </c>
      <c r="CV21" s="28">
        <f t="shared" si="19"/>
        <v>0.86881693828035056</v>
      </c>
      <c r="CW21" s="29">
        <f t="shared" ca="1" si="48"/>
        <v>4.4070904765200103</v>
      </c>
      <c r="CX21" s="33"/>
      <c r="CY21" s="33"/>
    </row>
    <row r="22" spans="1:103" ht="16.5" x14ac:dyDescent="0.4">
      <c r="A22" s="16"/>
      <c r="B22" s="33"/>
      <c r="C22" s="33"/>
      <c r="D22" s="33"/>
      <c r="E22" s="33"/>
      <c r="F22" s="33"/>
      <c r="G22" s="33"/>
      <c r="H22" s="70" t="s">
        <v>101</v>
      </c>
      <c r="I22" s="57">
        <f ca="1">-$BD$8</f>
        <v>291.60696951040245</v>
      </c>
      <c r="J22" s="60"/>
      <c r="K22" s="59"/>
      <c r="L22" s="16"/>
      <c r="M22" s="27">
        <v>7</v>
      </c>
      <c r="N22" s="30">
        <f t="shared" si="20"/>
        <v>43852</v>
      </c>
      <c r="O22" s="26">
        <f t="shared" si="0"/>
        <v>43607</v>
      </c>
      <c r="P22" s="55">
        <v>77</v>
      </c>
      <c r="Q22" s="56">
        <f t="shared" ca="1" si="49"/>
        <v>351.82226605132621</v>
      </c>
      <c r="R22" s="28">
        <f t="shared" ca="1" si="21"/>
        <v>5.3710838174008906</v>
      </c>
      <c r="S22" s="28">
        <f t="shared" si="1"/>
        <v>0.85946947048611599</v>
      </c>
      <c r="T22" s="29">
        <f t="shared" ca="1" si="50"/>
        <v>4.61628256447809</v>
      </c>
      <c r="U22" s="33"/>
      <c r="V22" s="27">
        <v>7</v>
      </c>
      <c r="W22" s="30">
        <f t="shared" si="22"/>
        <v>43852</v>
      </c>
      <c r="X22" s="26">
        <f t="shared" si="2"/>
        <v>43607</v>
      </c>
      <c r="Y22" s="55">
        <v>77</v>
      </c>
      <c r="Z22" s="56">
        <f t="shared" ca="1" si="51"/>
        <v>322.25250909294277</v>
      </c>
      <c r="AA22" s="28">
        <f t="shared" ca="1" si="23"/>
        <v>4.9196580311191305</v>
      </c>
      <c r="AB22" s="28">
        <f t="shared" si="3"/>
        <v>0.85946947048611599</v>
      </c>
      <c r="AC22" s="29">
        <f t="shared" ca="1" si="24"/>
        <v>4.2282958829787267</v>
      </c>
      <c r="AD22" s="16"/>
      <c r="AE22" s="27">
        <v>7</v>
      </c>
      <c r="AF22" s="30">
        <f t="shared" si="25"/>
        <v>43852</v>
      </c>
      <c r="AG22" s="26">
        <f t="shared" si="4"/>
        <v>43607</v>
      </c>
      <c r="AH22" s="55">
        <v>77</v>
      </c>
      <c r="AI22" s="56">
        <f t="shared" ca="1" si="52"/>
        <v>372.82981533205117</v>
      </c>
      <c r="AJ22" s="28">
        <f t="shared" ca="1" si="26"/>
        <v>5.6917949231854594</v>
      </c>
      <c r="AK22" s="28">
        <f t="shared" si="5"/>
        <v>0.85946947048611599</v>
      </c>
      <c r="AL22" s="29">
        <f t="shared" ca="1" si="27"/>
        <v>4.8919239687457701</v>
      </c>
      <c r="AM22" s="33"/>
      <c r="AN22" s="27">
        <v>7</v>
      </c>
      <c r="AO22" s="30">
        <f t="shared" si="28"/>
        <v>43852</v>
      </c>
      <c r="AP22" s="26">
        <f t="shared" si="6"/>
        <v>43607</v>
      </c>
      <c r="AQ22" s="55">
        <v>77</v>
      </c>
      <c r="AR22" s="56">
        <f t="shared" ca="1" si="53"/>
        <v>281.37350972786368</v>
      </c>
      <c r="AS22" s="28">
        <f t="shared" ca="1" si="29"/>
        <v>4.2955800430327082</v>
      </c>
      <c r="AT22" s="28">
        <f t="shared" si="7"/>
        <v>0.85946947048611599</v>
      </c>
      <c r="AU22" s="29">
        <f t="shared" ca="1" si="30"/>
        <v>3.6919199050160492</v>
      </c>
      <c r="AV22" s="33"/>
      <c r="AW22" s="27">
        <v>7</v>
      </c>
      <c r="AX22" s="30">
        <f t="shared" si="31"/>
        <v>43852</v>
      </c>
      <c r="AY22" s="26">
        <f t="shared" si="8"/>
        <v>43607</v>
      </c>
      <c r="AZ22" s="55">
        <v>77</v>
      </c>
      <c r="BA22" s="56">
        <f t="shared" ca="1" si="54"/>
        <v>275.04459736380915</v>
      </c>
      <c r="BB22" s="28">
        <f t="shared" ca="1" si="32"/>
        <v>4.1989598968383151</v>
      </c>
      <c r="BC22" s="28">
        <f t="shared" si="9"/>
        <v>0.85946947048611599</v>
      </c>
      <c r="BD22" s="29">
        <f t="shared" ca="1" si="33"/>
        <v>3.6088778391280627</v>
      </c>
      <c r="BE22" s="33"/>
      <c r="BF22" s="27">
        <v>7</v>
      </c>
      <c r="BG22" s="30">
        <f t="shared" si="34"/>
        <v>43852</v>
      </c>
      <c r="BH22" s="26">
        <f t="shared" si="10"/>
        <v>43607</v>
      </c>
      <c r="BI22" s="55">
        <v>77</v>
      </c>
      <c r="BJ22" s="56">
        <f t="shared" ca="1" si="55"/>
        <v>372.17927424393861</v>
      </c>
      <c r="BK22" s="28">
        <f t="shared" ca="1" si="35"/>
        <v>5.6818634576471014</v>
      </c>
      <c r="BL22" s="28">
        <f t="shared" si="11"/>
        <v>0.85946947048611599</v>
      </c>
      <c r="BM22" s="29">
        <f t="shared" ca="1" si="36"/>
        <v>4.8833881773183663</v>
      </c>
      <c r="BN22" s="33"/>
      <c r="BO22" s="27">
        <v>7</v>
      </c>
      <c r="BP22" s="30">
        <f t="shared" si="37"/>
        <v>43852</v>
      </c>
      <c r="BQ22" s="26">
        <f t="shared" si="12"/>
        <v>43607</v>
      </c>
      <c r="BR22" s="55">
        <v>77</v>
      </c>
      <c r="BS22" s="56">
        <f t="shared" ca="1" si="56"/>
        <v>325.0916389145732</v>
      </c>
      <c r="BT22" s="28">
        <f t="shared" ca="1" si="38"/>
        <v>4.9630015193286994</v>
      </c>
      <c r="BU22" s="28">
        <f t="shared" si="13"/>
        <v>0.85946947048611599</v>
      </c>
      <c r="BV22" s="29">
        <f t="shared" ca="1" si="39"/>
        <v>4.2655482878392261</v>
      </c>
      <c r="BW22" s="33"/>
      <c r="BX22" s="27">
        <v>7</v>
      </c>
      <c r="BY22" s="30">
        <f t="shared" si="40"/>
        <v>43852</v>
      </c>
      <c r="BZ22" s="26">
        <f t="shared" si="14"/>
        <v>43607</v>
      </c>
      <c r="CA22" s="55">
        <v>77</v>
      </c>
      <c r="CB22" s="56">
        <f t="shared" ca="1" si="57"/>
        <v>312.3772685076969</v>
      </c>
      <c r="CC22" s="28">
        <f t="shared" ca="1" si="41"/>
        <v>4.768897974071983</v>
      </c>
      <c r="CD22" s="28">
        <f t="shared" si="15"/>
        <v>0.85946947048611599</v>
      </c>
      <c r="CE22" s="29">
        <f t="shared" ca="1" si="42"/>
        <v>4.0987222165779587</v>
      </c>
      <c r="CF22" s="33"/>
      <c r="CG22" s="27">
        <v>7</v>
      </c>
      <c r="CH22" s="30">
        <f t="shared" si="43"/>
        <v>43852</v>
      </c>
      <c r="CI22" s="26">
        <f t="shared" si="16"/>
        <v>43607</v>
      </c>
      <c r="CJ22" s="55">
        <v>77</v>
      </c>
      <c r="CK22" s="56">
        <f t="shared" ca="1" si="58"/>
        <v>336.39023213633732</v>
      </c>
      <c r="CL22" s="28">
        <f t="shared" ca="1" si="44"/>
        <v>5.1354911456787251</v>
      </c>
      <c r="CM22" s="28">
        <f t="shared" si="17"/>
        <v>0.85946947048611599</v>
      </c>
      <c r="CN22" s="29">
        <f t="shared" ca="1" si="45"/>
        <v>4.4137978556626312</v>
      </c>
      <c r="CO22" s="33"/>
      <c r="CP22" s="27">
        <v>7</v>
      </c>
      <c r="CQ22" s="30">
        <f t="shared" si="46"/>
        <v>43852</v>
      </c>
      <c r="CR22" s="26">
        <f t="shared" si="18"/>
        <v>43607</v>
      </c>
      <c r="CS22" s="55">
        <v>77</v>
      </c>
      <c r="CT22" s="56">
        <f t="shared" ca="1" si="59"/>
        <v>340.72053744476176</v>
      </c>
      <c r="CU22" s="28">
        <f t="shared" ca="1" si="47"/>
        <v>5.2015996186515263</v>
      </c>
      <c r="CV22" s="28">
        <f t="shared" si="19"/>
        <v>0.85946947048611599</v>
      </c>
      <c r="CW22" s="29">
        <f t="shared" ca="1" si="48"/>
        <v>4.47061606992321</v>
      </c>
      <c r="CX22" s="33"/>
      <c r="CY22" s="33"/>
    </row>
    <row r="23" spans="1:103" ht="16.5" x14ac:dyDescent="0.4">
      <c r="A23" s="16"/>
      <c r="B23" s="33"/>
      <c r="C23" s="33"/>
      <c r="D23" s="33"/>
      <c r="E23" s="33"/>
      <c r="F23" s="33"/>
      <c r="G23" s="33"/>
      <c r="H23" s="70" t="s">
        <v>102</v>
      </c>
      <c r="I23" s="57">
        <f ca="1">-$BM$8</f>
        <v>559.82985383665709</v>
      </c>
      <c r="J23" s="60"/>
      <c r="K23" s="59"/>
      <c r="L23" s="16"/>
      <c r="M23" s="27">
        <v>7.5</v>
      </c>
      <c r="N23" s="30">
        <f t="shared" si="20"/>
        <v>44034</v>
      </c>
      <c r="O23" s="26">
        <f t="shared" si="0"/>
        <v>43791</v>
      </c>
      <c r="P23" s="55">
        <v>83</v>
      </c>
      <c r="Q23" s="56">
        <f t="shared" ca="1" si="49"/>
        <v>361.67760667878503</v>
      </c>
      <c r="R23" s="28">
        <f t="shared" ca="1" si="21"/>
        <v>5.5215400723537682</v>
      </c>
      <c r="S23" s="28">
        <f t="shared" si="1"/>
        <v>0.85022257066001594</v>
      </c>
      <c r="T23" s="29">
        <f t="shared" ca="1" si="50"/>
        <v>4.6945379943189112</v>
      </c>
      <c r="U23" s="33"/>
      <c r="V23" s="27">
        <v>7.5</v>
      </c>
      <c r="W23" s="30">
        <f t="shared" si="22"/>
        <v>44034</v>
      </c>
      <c r="X23" s="26">
        <f t="shared" si="2"/>
        <v>43791</v>
      </c>
      <c r="Y23" s="55">
        <v>83</v>
      </c>
      <c r="Z23" s="56">
        <f t="shared" ca="1" si="51"/>
        <v>329.02103940826538</v>
      </c>
      <c r="AA23" s="28">
        <f t="shared" ca="1" si="23"/>
        <v>5.0229895912623794</v>
      </c>
      <c r="AB23" s="28">
        <f t="shared" si="3"/>
        <v>0.85022257066001594</v>
      </c>
      <c r="AC23" s="29">
        <f t="shared" ca="1" si="24"/>
        <v>4.2706591226816029</v>
      </c>
      <c r="AD23" s="16"/>
      <c r="AE23" s="27">
        <v>7.5</v>
      </c>
      <c r="AF23" s="30">
        <f t="shared" si="25"/>
        <v>44034</v>
      </c>
      <c r="AG23" s="26">
        <f t="shared" si="4"/>
        <v>43791</v>
      </c>
      <c r="AH23" s="55">
        <v>83</v>
      </c>
      <c r="AI23" s="56">
        <f t="shared" ca="1" si="52"/>
        <v>385.00962104892812</v>
      </c>
      <c r="AJ23" s="28">
        <f t="shared" ca="1" si="26"/>
        <v>5.877737553023052</v>
      </c>
      <c r="AK23" s="28">
        <f t="shared" si="5"/>
        <v>0.85022257066001594</v>
      </c>
      <c r="AL23" s="29">
        <f t="shared" ca="1" si="27"/>
        <v>4.9973851319961708</v>
      </c>
      <c r="AM23" s="33"/>
      <c r="AN23" s="27">
        <v>7.5</v>
      </c>
      <c r="AO23" s="30">
        <f t="shared" si="28"/>
        <v>44034</v>
      </c>
      <c r="AP23" s="26">
        <f t="shared" si="6"/>
        <v>43791</v>
      </c>
      <c r="AQ23" s="55">
        <v>83</v>
      </c>
      <c r="AR23" s="56">
        <f t="shared" ca="1" si="53"/>
        <v>284.26274084834102</v>
      </c>
      <c r="AS23" s="28">
        <f t="shared" ca="1" si="29"/>
        <v>4.3396884011821122</v>
      </c>
      <c r="AT23" s="28">
        <f t="shared" si="7"/>
        <v>0.85022257066001594</v>
      </c>
      <c r="AU23" s="29">
        <f t="shared" ca="1" si="30"/>
        <v>3.6897010283165099</v>
      </c>
      <c r="AV23" s="33"/>
      <c r="AW23" s="27">
        <v>7.5</v>
      </c>
      <c r="AX23" s="30">
        <f t="shared" si="31"/>
        <v>44034</v>
      </c>
      <c r="AY23" s="26">
        <f t="shared" si="8"/>
        <v>43791</v>
      </c>
      <c r="AZ23" s="55">
        <v>83</v>
      </c>
      <c r="BA23" s="56">
        <f t="shared" ca="1" si="54"/>
        <v>277.3766974019</v>
      </c>
      <c r="BB23" s="28">
        <f t="shared" ca="1" si="32"/>
        <v>4.2345628304324112</v>
      </c>
      <c r="BC23" s="28">
        <f t="shared" si="9"/>
        <v>0.85022257066001594</v>
      </c>
      <c r="BD23" s="29">
        <f t="shared" ca="1" si="33"/>
        <v>3.6003208953115977</v>
      </c>
      <c r="BE23" s="33"/>
      <c r="BF23" s="27">
        <v>7.5</v>
      </c>
      <c r="BG23" s="30">
        <f t="shared" si="34"/>
        <v>44034</v>
      </c>
      <c r="BH23" s="26">
        <f t="shared" si="10"/>
        <v>43791</v>
      </c>
      <c r="BI23" s="55">
        <v>83</v>
      </c>
      <c r="BJ23" s="56">
        <f t="shared" ca="1" si="55"/>
        <v>384.28552945724505</v>
      </c>
      <c r="BK23" s="28">
        <f t="shared" ca="1" si="35"/>
        <v>5.8666832309812582</v>
      </c>
      <c r="BL23" s="28">
        <f t="shared" si="11"/>
        <v>0.85022257066001594</v>
      </c>
      <c r="BM23" s="29">
        <f t="shared" ca="1" si="36"/>
        <v>4.9879864978928934</v>
      </c>
      <c r="BN23" s="33"/>
      <c r="BO23" s="27">
        <v>7.5</v>
      </c>
      <c r="BP23" s="30">
        <f t="shared" si="37"/>
        <v>44034</v>
      </c>
      <c r="BQ23" s="26">
        <f t="shared" si="12"/>
        <v>43791</v>
      </c>
      <c r="BR23" s="55">
        <v>83</v>
      </c>
      <c r="BS23" s="56">
        <f t="shared" ca="1" si="56"/>
        <v>332.14674902117247</v>
      </c>
      <c r="BT23" s="28">
        <f t="shared" ca="1" si="38"/>
        <v>5.0707081410523189</v>
      </c>
      <c r="BU23" s="28">
        <f t="shared" si="13"/>
        <v>0.85022257066001594</v>
      </c>
      <c r="BV23" s="29">
        <f t="shared" ca="1" si="39"/>
        <v>4.3112305107521731</v>
      </c>
      <c r="BW23" s="33"/>
      <c r="BX23" s="27">
        <v>7.5</v>
      </c>
      <c r="BY23" s="30">
        <f t="shared" si="40"/>
        <v>44034</v>
      </c>
      <c r="BZ23" s="26">
        <f t="shared" si="14"/>
        <v>43791</v>
      </c>
      <c r="CA23" s="55">
        <v>83</v>
      </c>
      <c r="CB23" s="56">
        <f t="shared" ca="1" si="57"/>
        <v>318.16581962516989</v>
      </c>
      <c r="CC23" s="28">
        <f t="shared" ca="1" si="41"/>
        <v>4.8572687118942479</v>
      </c>
      <c r="CD23" s="28">
        <f t="shared" si="15"/>
        <v>0.85022257066001594</v>
      </c>
      <c r="CE23" s="29">
        <f t="shared" ca="1" si="42"/>
        <v>4.1297594906131918</v>
      </c>
      <c r="CF23" s="33"/>
      <c r="CG23" s="27">
        <v>7.5</v>
      </c>
      <c r="CH23" s="30">
        <f t="shared" si="43"/>
        <v>44034</v>
      </c>
      <c r="CI23" s="26">
        <f t="shared" si="16"/>
        <v>43791</v>
      </c>
      <c r="CJ23" s="55">
        <v>83</v>
      </c>
      <c r="CK23" s="56">
        <f t="shared" ca="1" si="58"/>
        <v>344.60673213548057</v>
      </c>
      <c r="CL23" s="28">
        <f t="shared" ca="1" si="44"/>
        <v>5.2609280905213076</v>
      </c>
      <c r="CM23" s="28">
        <f t="shared" si="17"/>
        <v>0.85022257066001594</v>
      </c>
      <c r="CN23" s="29">
        <f t="shared" ca="1" si="45"/>
        <v>4.4729598051805155</v>
      </c>
      <c r="CO23" s="33"/>
      <c r="CP23" s="27">
        <v>7.5</v>
      </c>
      <c r="CQ23" s="30">
        <f t="shared" si="46"/>
        <v>44034</v>
      </c>
      <c r="CR23" s="26">
        <f t="shared" si="18"/>
        <v>43791</v>
      </c>
      <c r="CS23" s="55">
        <v>83</v>
      </c>
      <c r="CT23" s="56">
        <f t="shared" ca="1" si="59"/>
        <v>349.39086432295602</v>
      </c>
      <c r="CU23" s="28">
        <f t="shared" ca="1" si="47"/>
        <v>5.3339648976024927</v>
      </c>
      <c r="CV23" s="28">
        <f t="shared" si="19"/>
        <v>0.85022257066001594</v>
      </c>
      <c r="CW23" s="29">
        <f t="shared" ca="1" si="48"/>
        <v>4.5350573470498796</v>
      </c>
      <c r="CX23" s="33"/>
      <c r="CY23" s="33"/>
    </row>
    <row r="24" spans="1:103" ht="16.5" x14ac:dyDescent="0.4">
      <c r="A24" s="16"/>
      <c r="B24" s="33"/>
      <c r="C24" s="33"/>
      <c r="D24" s="33"/>
      <c r="E24" s="33"/>
      <c r="F24" s="33"/>
      <c r="G24" s="33"/>
      <c r="H24" s="70" t="s">
        <v>103</v>
      </c>
      <c r="I24" s="57">
        <f ca="1">-$BV$8</f>
        <v>415.3549317200052</v>
      </c>
      <c r="J24" s="60"/>
      <c r="K24" s="59"/>
      <c r="L24" s="16"/>
      <c r="M24" s="27">
        <v>8</v>
      </c>
      <c r="N24" s="30">
        <f t="shared" si="20"/>
        <v>44218</v>
      </c>
      <c r="O24" s="26">
        <f t="shared" si="0"/>
        <v>43973</v>
      </c>
      <c r="P24" s="55">
        <v>89</v>
      </c>
      <c r="Q24" s="56">
        <f t="shared" ca="1" si="49"/>
        <v>371.80901777777291</v>
      </c>
      <c r="R24" s="28">
        <f t="shared" ca="1" si="21"/>
        <v>5.6762109486799153</v>
      </c>
      <c r="S24" s="28">
        <f t="shared" si="1"/>
        <v>0.84107515680675249</v>
      </c>
      <c r="T24" s="29">
        <f t="shared" ca="1" si="50"/>
        <v>4.7741200137291653</v>
      </c>
      <c r="U24" s="33"/>
      <c r="V24" s="27">
        <v>8</v>
      </c>
      <c r="W24" s="30">
        <f t="shared" si="22"/>
        <v>44218</v>
      </c>
      <c r="X24" s="26">
        <f t="shared" si="2"/>
        <v>43973</v>
      </c>
      <c r="Y24" s="55">
        <v>89</v>
      </c>
      <c r="Z24" s="56">
        <f t="shared" ca="1" si="51"/>
        <v>335.93173464499813</v>
      </c>
      <c r="AA24" s="28">
        <f t="shared" ca="1" si="23"/>
        <v>5.1284915078113151</v>
      </c>
      <c r="AB24" s="28">
        <f t="shared" si="3"/>
        <v>0.84107515680675249</v>
      </c>
      <c r="AC24" s="29">
        <f t="shared" ca="1" si="24"/>
        <v>4.3134467991145007</v>
      </c>
      <c r="AD24" s="16"/>
      <c r="AE24" s="27">
        <v>8</v>
      </c>
      <c r="AF24" s="30">
        <f t="shared" si="25"/>
        <v>44218</v>
      </c>
      <c r="AG24" s="26">
        <f t="shared" si="4"/>
        <v>43973</v>
      </c>
      <c r="AH24" s="55">
        <v>89</v>
      </c>
      <c r="AI24" s="56">
        <f t="shared" ca="1" si="52"/>
        <v>397.58732323545496</v>
      </c>
      <c r="AJ24" s="28">
        <f t="shared" ca="1" si="26"/>
        <v>6.069754657091976</v>
      </c>
      <c r="AK24" s="28">
        <f t="shared" si="5"/>
        <v>0.84107515680675249</v>
      </c>
      <c r="AL24" s="29">
        <f t="shared" ca="1" si="27"/>
        <v>5.1051198499921497</v>
      </c>
      <c r="AM24" s="33"/>
      <c r="AN24" s="27">
        <v>8</v>
      </c>
      <c r="AO24" s="30">
        <f t="shared" si="28"/>
        <v>44218</v>
      </c>
      <c r="AP24" s="26">
        <f t="shared" si="6"/>
        <v>43973</v>
      </c>
      <c r="AQ24" s="55">
        <v>89</v>
      </c>
      <c r="AR24" s="56">
        <f t="shared" ca="1" si="53"/>
        <v>287.18163949677995</v>
      </c>
      <c r="AS24" s="28">
        <f t="shared" ca="1" si="29"/>
        <v>4.3842496777358155</v>
      </c>
      <c r="AT24" s="28">
        <f t="shared" si="7"/>
        <v>0.84107515680675249</v>
      </c>
      <c r="AU24" s="29">
        <f t="shared" ca="1" si="30"/>
        <v>3.687483485181605</v>
      </c>
      <c r="AV24" s="33"/>
      <c r="AW24" s="27">
        <v>8</v>
      </c>
      <c r="AX24" s="30">
        <f t="shared" si="31"/>
        <v>44218</v>
      </c>
      <c r="AY24" s="26">
        <f t="shared" si="8"/>
        <v>43973</v>
      </c>
      <c r="AZ24" s="55">
        <v>89</v>
      </c>
      <c r="BA24" s="56">
        <f t="shared" ca="1" si="54"/>
        <v>279.72857128990387</v>
      </c>
      <c r="BB24" s="28">
        <f t="shared" ca="1" si="32"/>
        <v>4.2704676408987918</v>
      </c>
      <c r="BC24" s="28">
        <f t="shared" si="9"/>
        <v>0.84107515680675249</v>
      </c>
      <c r="BD24" s="29">
        <f t="shared" ca="1" si="33"/>
        <v>3.5917842407071139</v>
      </c>
      <c r="BE24" s="33"/>
      <c r="BF24" s="27">
        <v>8</v>
      </c>
      <c r="BG24" s="30">
        <f t="shared" si="34"/>
        <v>44218</v>
      </c>
      <c r="BH24" s="26">
        <f t="shared" si="10"/>
        <v>43973</v>
      </c>
      <c r="BI24" s="55">
        <v>89</v>
      </c>
      <c r="BJ24" s="56">
        <f t="shared" ca="1" si="55"/>
        <v>396.78557719322072</v>
      </c>
      <c r="BK24" s="28">
        <f t="shared" ca="1" si="35"/>
        <v>6.0575148257662308</v>
      </c>
      <c r="BL24" s="28">
        <f t="shared" si="11"/>
        <v>0.84107515680675249</v>
      </c>
      <c r="BM24" s="29">
        <f t="shared" ca="1" si="36"/>
        <v>5.0948252319405603</v>
      </c>
      <c r="BN24" s="33"/>
      <c r="BO24" s="27">
        <v>8</v>
      </c>
      <c r="BP24" s="30">
        <f t="shared" si="37"/>
        <v>44218</v>
      </c>
      <c r="BQ24" s="26">
        <f t="shared" si="12"/>
        <v>43973</v>
      </c>
      <c r="BR24" s="55">
        <v>89</v>
      </c>
      <c r="BS24" s="56">
        <f t="shared" ca="1" si="56"/>
        <v>339.35496850573799</v>
      </c>
      <c r="BT24" s="28">
        <f t="shared" ca="1" si="38"/>
        <v>5.1807522023914485</v>
      </c>
      <c r="BU24" s="28">
        <f t="shared" si="13"/>
        <v>0.84107515680675249</v>
      </c>
      <c r="BV24" s="29">
        <f t="shared" ca="1" si="39"/>
        <v>4.3574019710033163</v>
      </c>
      <c r="BW24" s="33"/>
      <c r="BX24" s="27">
        <v>8</v>
      </c>
      <c r="BY24" s="30">
        <f t="shared" si="40"/>
        <v>44218</v>
      </c>
      <c r="BZ24" s="26">
        <f t="shared" si="14"/>
        <v>43973</v>
      </c>
      <c r="CA24" s="55">
        <v>89</v>
      </c>
      <c r="CB24" s="56">
        <f t="shared" ca="1" si="57"/>
        <v>324.06163630713058</v>
      </c>
      <c r="CC24" s="28">
        <f t="shared" ca="1" si="41"/>
        <v>4.9472770161617827</v>
      </c>
      <c r="CD24" s="28">
        <f t="shared" si="15"/>
        <v>0.84107515680675249</v>
      </c>
      <c r="CE24" s="29">
        <f t="shared" ca="1" si="42"/>
        <v>4.1610317921347137</v>
      </c>
      <c r="CF24" s="33"/>
      <c r="CG24" s="27">
        <v>8</v>
      </c>
      <c r="CH24" s="30">
        <f t="shared" si="43"/>
        <v>44218</v>
      </c>
      <c r="CI24" s="26">
        <f t="shared" si="16"/>
        <v>43973</v>
      </c>
      <c r="CJ24" s="55">
        <v>89</v>
      </c>
      <c r="CK24" s="56">
        <f t="shared" ca="1" si="58"/>
        <v>353.02392426473472</v>
      </c>
      <c r="CL24" s="28">
        <f t="shared" ca="1" si="44"/>
        <v>5.3894288956033707</v>
      </c>
      <c r="CM24" s="28">
        <f t="shared" si="17"/>
        <v>0.84107515680675249</v>
      </c>
      <c r="CN24" s="29">
        <f t="shared" ca="1" si="45"/>
        <v>4.5329147534684475</v>
      </c>
      <c r="CO24" s="33"/>
      <c r="CP24" s="27">
        <v>8</v>
      </c>
      <c r="CQ24" s="30">
        <f t="shared" si="46"/>
        <v>44218</v>
      </c>
      <c r="CR24" s="26">
        <f t="shared" si="18"/>
        <v>43973</v>
      </c>
      <c r="CS24" s="55">
        <v>89</v>
      </c>
      <c r="CT24" s="56">
        <f t="shared" ca="1" si="59"/>
        <v>358.28182529834476</v>
      </c>
      <c r="CU24" s="28">
        <f t="shared" ca="1" si="47"/>
        <v>5.4696984802208446</v>
      </c>
      <c r="CV24" s="28">
        <f t="shared" si="19"/>
        <v>0.84107515680675249</v>
      </c>
      <c r="CW24" s="29">
        <f t="shared" ca="1" si="48"/>
        <v>4.600427506937403</v>
      </c>
      <c r="CX24" s="33"/>
      <c r="CY24" s="33"/>
    </row>
    <row r="25" spans="1:103" ht="16.5" x14ac:dyDescent="0.4">
      <c r="A25" s="16"/>
      <c r="B25" s="33"/>
      <c r="C25" s="33"/>
      <c r="D25" s="33"/>
      <c r="E25" s="33"/>
      <c r="F25" s="33"/>
      <c r="G25" s="33"/>
      <c r="H25" s="70" t="s">
        <v>104</v>
      </c>
      <c r="I25" s="57">
        <f ca="1">-$CE$8</f>
        <v>381.11216534731267</v>
      </c>
      <c r="J25" s="61"/>
      <c r="K25" s="59"/>
      <c r="L25" s="16"/>
      <c r="M25" s="27">
        <v>8.5</v>
      </c>
      <c r="N25" s="30">
        <f t="shared" si="20"/>
        <v>44399</v>
      </c>
      <c r="O25" s="26">
        <f t="shared" si="0"/>
        <v>44157</v>
      </c>
      <c r="P25" s="55">
        <v>95</v>
      </c>
      <c r="Q25" s="56">
        <f t="shared" ca="1" si="49"/>
        <v>382.2242327091277</v>
      </c>
      <c r="R25" s="28">
        <f t="shared" ca="1" si="21"/>
        <v>5.835214507495011</v>
      </c>
      <c r="S25" s="28">
        <f t="shared" si="1"/>
        <v>0.8320261585720452</v>
      </c>
      <c r="T25" s="29">
        <f t="shared" ca="1" si="50"/>
        <v>4.8550511111149426</v>
      </c>
      <c r="U25" s="33"/>
      <c r="V25" s="27">
        <v>8.5</v>
      </c>
      <c r="W25" s="30">
        <f t="shared" si="22"/>
        <v>44399</v>
      </c>
      <c r="X25" s="26">
        <f t="shared" si="2"/>
        <v>44157</v>
      </c>
      <c r="Y25" s="55">
        <v>95</v>
      </c>
      <c r="Z25" s="56">
        <f t="shared" ca="1" si="51"/>
        <v>342.98758080806954</v>
      </c>
      <c r="AA25" s="28">
        <f t="shared" ca="1" si="23"/>
        <v>5.2362093665184561</v>
      </c>
      <c r="AB25" s="28">
        <f t="shared" si="3"/>
        <v>0.8320261585720452</v>
      </c>
      <c r="AC25" s="29">
        <f t="shared" ca="1" si="24"/>
        <v>4.3566631647033134</v>
      </c>
      <c r="AD25" s="16"/>
      <c r="AE25" s="27">
        <v>8.5</v>
      </c>
      <c r="AF25" s="30">
        <f t="shared" si="25"/>
        <v>44399</v>
      </c>
      <c r="AG25" s="26">
        <f t="shared" si="4"/>
        <v>44157</v>
      </c>
      <c r="AH25" s="55">
        <v>95</v>
      </c>
      <c r="AI25" s="56">
        <f t="shared" ca="1" si="52"/>
        <v>410.57592058834666</v>
      </c>
      <c r="AJ25" s="28">
        <f t="shared" ca="1" si="26"/>
        <v>6.2680446795963363</v>
      </c>
      <c r="AK25" s="28">
        <f t="shared" si="5"/>
        <v>0.8320261585720452</v>
      </c>
      <c r="AL25" s="29">
        <f t="shared" ca="1" si="27"/>
        <v>5.2151771365224855</v>
      </c>
      <c r="AM25" s="33"/>
      <c r="AN25" s="27">
        <v>8.5</v>
      </c>
      <c r="AO25" s="30">
        <f t="shared" si="28"/>
        <v>44399</v>
      </c>
      <c r="AP25" s="26">
        <f t="shared" si="6"/>
        <v>44157</v>
      </c>
      <c r="AQ25" s="55">
        <v>95</v>
      </c>
      <c r="AR25" s="56">
        <f t="shared" ca="1" si="53"/>
        <v>290.13051030862817</v>
      </c>
      <c r="AS25" s="28">
        <f t="shared" ca="1" si="29"/>
        <v>4.4292685234015226</v>
      </c>
      <c r="AT25" s="28">
        <f t="shared" si="7"/>
        <v>0.8320261585720452</v>
      </c>
      <c r="AU25" s="29">
        <f t="shared" ca="1" si="30"/>
        <v>3.6852672748098438</v>
      </c>
      <c r="AV25" s="33"/>
      <c r="AW25" s="27">
        <v>8.5</v>
      </c>
      <c r="AX25" s="30">
        <f t="shared" si="31"/>
        <v>44399</v>
      </c>
      <c r="AY25" s="26">
        <f t="shared" si="8"/>
        <v>44157</v>
      </c>
      <c r="AZ25" s="55">
        <v>95</v>
      </c>
      <c r="BA25" s="56">
        <f t="shared" ca="1" si="54"/>
        <v>282.10038669007116</v>
      </c>
      <c r="BB25" s="28">
        <f t="shared" ca="1" si="32"/>
        <v>4.3066768878480524</v>
      </c>
      <c r="BC25" s="28">
        <f t="shared" si="9"/>
        <v>0.8320261585720452</v>
      </c>
      <c r="BD25" s="29">
        <f t="shared" ca="1" si="33"/>
        <v>3.5832678272072256</v>
      </c>
      <c r="BE25" s="33"/>
      <c r="BF25" s="27">
        <v>8.5</v>
      </c>
      <c r="BG25" s="30">
        <f t="shared" si="34"/>
        <v>44399</v>
      </c>
      <c r="BH25" s="26">
        <f t="shared" si="10"/>
        <v>44157</v>
      </c>
      <c r="BI25" s="55">
        <v>95</v>
      </c>
      <c r="BJ25" s="56">
        <f t="shared" ca="1" si="55"/>
        <v>409.69222674327557</v>
      </c>
      <c r="BK25" s="28">
        <f t="shared" ca="1" si="35"/>
        <v>6.2545537946558536</v>
      </c>
      <c r="BL25" s="28">
        <f t="shared" si="11"/>
        <v>0.8320261585720452</v>
      </c>
      <c r="BM25" s="29">
        <f t="shared" ca="1" si="36"/>
        <v>5.2039523673497179</v>
      </c>
      <c r="BN25" s="33"/>
      <c r="BO25" s="27">
        <v>8.5</v>
      </c>
      <c r="BP25" s="30">
        <f t="shared" si="37"/>
        <v>44399</v>
      </c>
      <c r="BQ25" s="26">
        <f t="shared" si="12"/>
        <v>44157</v>
      </c>
      <c r="BR25" s="55">
        <v>95</v>
      </c>
      <c r="BS25" s="56">
        <f t="shared" ca="1" si="56"/>
        <v>346.71962013450121</v>
      </c>
      <c r="BT25" s="28">
        <f t="shared" ca="1" si="38"/>
        <v>5.2931844302546915</v>
      </c>
      <c r="BU25" s="28">
        <f t="shared" si="13"/>
        <v>0.8320261585720452</v>
      </c>
      <c r="BV25" s="29">
        <f t="shared" ca="1" si="39"/>
        <v>4.4040679081181704</v>
      </c>
      <c r="BW25" s="33"/>
      <c r="BX25" s="27">
        <v>8.5</v>
      </c>
      <c r="BY25" s="30">
        <f t="shared" si="40"/>
        <v>44399</v>
      </c>
      <c r="BZ25" s="26">
        <f t="shared" si="14"/>
        <v>44157</v>
      </c>
      <c r="CA25" s="55">
        <v>95</v>
      </c>
      <c r="CB25" s="56">
        <f t="shared" ca="1" si="57"/>
        <v>330.06670625327985</v>
      </c>
      <c r="CC25" s="28">
        <f t="shared" ca="1" si="41"/>
        <v>5.0389532320310115</v>
      </c>
      <c r="CD25" s="28">
        <f t="shared" si="15"/>
        <v>0.8320261585720452</v>
      </c>
      <c r="CE25" s="29">
        <f t="shared" ca="1" si="42"/>
        <v>4.192540900870954</v>
      </c>
      <c r="CF25" s="33"/>
      <c r="CG25" s="27">
        <v>8.5</v>
      </c>
      <c r="CH25" s="30">
        <f t="shared" si="43"/>
        <v>44399</v>
      </c>
      <c r="CI25" s="26">
        <f t="shared" si="16"/>
        <v>44157</v>
      </c>
      <c r="CJ25" s="55">
        <v>95</v>
      </c>
      <c r="CK25" s="56">
        <f t="shared" ca="1" si="58"/>
        <v>361.64671052995288</v>
      </c>
      <c r="CL25" s="28">
        <f t="shared" ca="1" si="44"/>
        <v>5.5210683972466903</v>
      </c>
      <c r="CM25" s="28">
        <f t="shared" si="17"/>
        <v>0.8320261585720452</v>
      </c>
      <c r="CN25" s="29">
        <f t="shared" ca="1" si="45"/>
        <v>4.5936733297746821</v>
      </c>
      <c r="CO25" s="33"/>
      <c r="CP25" s="27">
        <v>8.5</v>
      </c>
      <c r="CQ25" s="30">
        <f t="shared" si="46"/>
        <v>44399</v>
      </c>
      <c r="CR25" s="26">
        <f t="shared" si="18"/>
        <v>44157</v>
      </c>
      <c r="CS25" s="55">
        <v>95</v>
      </c>
      <c r="CT25" s="56">
        <f t="shared" ca="1" si="59"/>
        <v>367.39903485415664</v>
      </c>
      <c r="CU25" s="28">
        <f t="shared" ca="1" si="47"/>
        <v>5.6088860798423257</v>
      </c>
      <c r="CV25" s="28">
        <f t="shared" si="19"/>
        <v>0.8320261585720452</v>
      </c>
      <c r="CW25" s="29">
        <f t="shared" ca="1" si="48"/>
        <v>4.6667399388794282</v>
      </c>
      <c r="CX25" s="33"/>
      <c r="CY25" s="33"/>
    </row>
    <row r="26" spans="1:103" ht="16.5" x14ac:dyDescent="0.4">
      <c r="A26" s="16"/>
      <c r="B26" s="33"/>
      <c r="C26" s="63" t="s">
        <v>2</v>
      </c>
      <c r="D26" s="63" t="s">
        <v>3</v>
      </c>
      <c r="E26" s="117" t="s">
        <v>4</v>
      </c>
      <c r="F26" s="117"/>
      <c r="G26" s="33"/>
      <c r="H26" s="70" t="s">
        <v>105</v>
      </c>
      <c r="I26" s="57">
        <f ca="1">-$CN$8</f>
        <v>447.45045543270538</v>
      </c>
      <c r="J26" s="61"/>
      <c r="K26" s="59"/>
      <c r="L26" s="16"/>
      <c r="M26" s="27">
        <v>9</v>
      </c>
      <c r="N26" s="30">
        <f t="shared" si="20"/>
        <v>44583</v>
      </c>
      <c r="O26" s="26">
        <f t="shared" si="0"/>
        <v>44338</v>
      </c>
      <c r="P26" s="55">
        <v>101</v>
      </c>
      <c r="Q26" s="56">
        <f t="shared" ca="1" si="49"/>
        <v>392.93120146268575</v>
      </c>
      <c r="R26" s="28">
        <f t="shared" ca="1" si="21"/>
        <v>5.9986721170746806</v>
      </c>
      <c r="S26" s="28">
        <f t="shared" si="1"/>
        <v>0.8230745171173951</v>
      </c>
      <c r="T26" s="29">
        <f t="shared" ca="1" si="50"/>
        <v>4.9373541561068253</v>
      </c>
      <c r="U26" s="33"/>
      <c r="V26" s="27">
        <v>9</v>
      </c>
      <c r="W26" s="30">
        <f t="shared" si="22"/>
        <v>44583</v>
      </c>
      <c r="X26" s="26">
        <f t="shared" si="2"/>
        <v>44338</v>
      </c>
      <c r="Y26" s="55">
        <v>101</v>
      </c>
      <c r="Z26" s="56">
        <f t="shared" ca="1" si="51"/>
        <v>350.19162661988662</v>
      </c>
      <c r="AA26" s="28">
        <f t="shared" ca="1" si="23"/>
        <v>5.3461897106107781</v>
      </c>
      <c r="AB26" s="28">
        <f t="shared" si="3"/>
        <v>0.8230745171173951</v>
      </c>
      <c r="AC26" s="29">
        <f t="shared" ca="1" si="24"/>
        <v>4.4003125144789523</v>
      </c>
      <c r="AD26" s="16"/>
      <c r="AE26" s="27">
        <v>9</v>
      </c>
      <c r="AF26" s="30">
        <f t="shared" si="25"/>
        <v>44583</v>
      </c>
      <c r="AG26" s="26">
        <f t="shared" si="4"/>
        <v>44338</v>
      </c>
      <c r="AH26" s="55">
        <v>101</v>
      </c>
      <c r="AI26" s="56">
        <f t="shared" ca="1" si="52"/>
        <v>423.98883645276101</v>
      </c>
      <c r="AJ26" s="28">
        <f t="shared" ca="1" si="26"/>
        <v>6.472812547622647</v>
      </c>
      <c r="AK26" s="28">
        <f t="shared" si="5"/>
        <v>0.8230745171173951</v>
      </c>
      <c r="AL26" s="29">
        <f t="shared" ca="1" si="27"/>
        <v>5.3276070620259262</v>
      </c>
      <c r="AM26" s="33"/>
      <c r="AN26" s="27">
        <v>9</v>
      </c>
      <c r="AO26" s="30">
        <f t="shared" si="28"/>
        <v>44583</v>
      </c>
      <c r="AP26" s="26">
        <f t="shared" si="6"/>
        <v>44338</v>
      </c>
      <c r="AQ26" s="55">
        <v>101</v>
      </c>
      <c r="AR26" s="56">
        <f t="shared" ca="1" si="53"/>
        <v>293.10966104742511</v>
      </c>
      <c r="AS26" s="28">
        <f t="shared" ca="1" si="29"/>
        <v>4.4747496366418531</v>
      </c>
      <c r="AT26" s="28">
        <f t="shared" si="7"/>
        <v>0.8230745171173951</v>
      </c>
      <c r="AU26" s="29">
        <f t="shared" ca="1" si="30"/>
        <v>3.6830523964002326</v>
      </c>
      <c r="AV26" s="33"/>
      <c r="AW26" s="27">
        <v>9</v>
      </c>
      <c r="AX26" s="30">
        <f t="shared" si="31"/>
        <v>44583</v>
      </c>
      <c r="AY26" s="26">
        <f t="shared" si="8"/>
        <v>44338</v>
      </c>
      <c r="AZ26" s="55">
        <v>101</v>
      </c>
      <c r="BA26" s="56">
        <f t="shared" ca="1" si="54"/>
        <v>284.4923126862584</v>
      </c>
      <c r="BB26" s="28">
        <f t="shared" ca="1" si="32"/>
        <v>4.3431931525936927</v>
      </c>
      <c r="BC26" s="28">
        <f t="shared" si="9"/>
        <v>0.8230745171173951</v>
      </c>
      <c r="BD26" s="29">
        <f t="shared" ca="1" si="33"/>
        <v>3.5747716068186306</v>
      </c>
      <c r="BE26" s="33"/>
      <c r="BF26" s="27">
        <v>9</v>
      </c>
      <c r="BG26" s="30">
        <f t="shared" si="34"/>
        <v>44583</v>
      </c>
      <c r="BH26" s="26">
        <f t="shared" si="10"/>
        <v>44338</v>
      </c>
      <c r="BI26" s="55">
        <v>101</v>
      </c>
      <c r="BJ26" s="56">
        <f t="shared" ca="1" si="55"/>
        <v>423.01870405971817</v>
      </c>
      <c r="BK26" s="28">
        <f t="shared" ca="1" si="35"/>
        <v>6.4580020512447724</v>
      </c>
      <c r="BL26" s="28">
        <f t="shared" si="11"/>
        <v>0.8230745171173951</v>
      </c>
      <c r="BM26" s="29">
        <f t="shared" ca="1" si="36"/>
        <v>5.3154169198714385</v>
      </c>
      <c r="BN26" s="33"/>
      <c r="BO26" s="27">
        <v>9</v>
      </c>
      <c r="BP26" s="30">
        <f t="shared" si="37"/>
        <v>44583</v>
      </c>
      <c r="BQ26" s="26">
        <f t="shared" si="12"/>
        <v>44338</v>
      </c>
      <c r="BR26" s="55">
        <v>101</v>
      </c>
      <c r="BS26" s="56">
        <f t="shared" ca="1" si="56"/>
        <v>354.24409878407351</v>
      </c>
      <c r="BT26" s="28">
        <f t="shared" ca="1" si="38"/>
        <v>5.4080566524215516</v>
      </c>
      <c r="BU26" s="28">
        <f t="shared" si="13"/>
        <v>0.8230745171173951</v>
      </c>
      <c r="BV26" s="29">
        <f t="shared" ca="1" si="39"/>
        <v>4.4512336177353848</v>
      </c>
      <c r="BW26" s="33"/>
      <c r="BX26" s="27">
        <v>9</v>
      </c>
      <c r="BY26" s="30">
        <f t="shared" si="40"/>
        <v>44583</v>
      </c>
      <c r="BZ26" s="26">
        <f t="shared" si="14"/>
        <v>44338</v>
      </c>
      <c r="CA26" s="55">
        <v>101</v>
      </c>
      <c r="CB26" s="56">
        <f t="shared" ca="1" si="57"/>
        <v>336.18305399666872</v>
      </c>
      <c r="CC26" s="28">
        <f t="shared" ca="1" si="41"/>
        <v>5.1323282669735697</v>
      </c>
      <c r="CD26" s="28">
        <f t="shared" si="15"/>
        <v>0.8230745171173951</v>
      </c>
      <c r="CE26" s="29">
        <f t="shared" ca="1" si="42"/>
        <v>4.2242886100272283</v>
      </c>
      <c r="CF26" s="33"/>
      <c r="CG26" s="27">
        <v>9</v>
      </c>
      <c r="CH26" s="30">
        <f t="shared" si="43"/>
        <v>44583</v>
      </c>
      <c r="CI26" s="26">
        <f t="shared" si="16"/>
        <v>44338</v>
      </c>
      <c r="CJ26" s="55">
        <v>101</v>
      </c>
      <c r="CK26" s="56">
        <f t="shared" ca="1" si="58"/>
        <v>370.48011267093773</v>
      </c>
      <c r="CL26" s="28">
        <f t="shared" ca="1" si="44"/>
        <v>5.6559232596877056</v>
      </c>
      <c r="CM26" s="28">
        <f t="shared" si="17"/>
        <v>0.8230745171173951</v>
      </c>
      <c r="CN26" s="29">
        <f t="shared" ca="1" si="45"/>
        <v>4.6552463058205014</v>
      </c>
      <c r="CO26" s="33"/>
      <c r="CP26" s="27">
        <v>9</v>
      </c>
      <c r="CQ26" s="30">
        <f t="shared" si="46"/>
        <v>44583</v>
      </c>
      <c r="CR26" s="26">
        <f t="shared" si="18"/>
        <v>44338</v>
      </c>
      <c r="CS26" s="55">
        <v>101</v>
      </c>
      <c r="CT26" s="56">
        <f t="shared" ca="1" si="59"/>
        <v>376.74825034556227</v>
      </c>
      <c r="CU26" s="28">
        <f t="shared" ca="1" si="47"/>
        <v>5.7516155909527926</v>
      </c>
      <c r="CV26" s="28">
        <f t="shared" si="19"/>
        <v>0.8230745171173951</v>
      </c>
      <c r="CW26" s="29">
        <f t="shared" ca="1" si="48"/>
        <v>4.7340082251683508</v>
      </c>
      <c r="CX26" s="33"/>
      <c r="CY26" s="33"/>
    </row>
    <row r="27" spans="1:103" ht="16.5" x14ac:dyDescent="0.4">
      <c r="A27" s="16"/>
      <c r="B27" s="33"/>
      <c r="C27" s="64" t="s">
        <v>55</v>
      </c>
      <c r="D27" s="65">
        <f ca="1">Q2a!G14</f>
        <v>1.0568092291336983</v>
      </c>
      <c r="E27" s="116" t="s">
        <v>138</v>
      </c>
      <c r="F27" s="116"/>
      <c r="G27" s="33"/>
      <c r="H27" s="70" t="s">
        <v>106</v>
      </c>
      <c r="I27" s="57">
        <f ca="1">-$CW$8</f>
        <v>460.17399260762943</v>
      </c>
      <c r="J27" s="61">
        <f ca="1">AVERAGE(I18:I37)</f>
        <v>432.29546102012301</v>
      </c>
      <c r="K27" s="62">
        <f ca="1">_xlfn.STDEV.S(I18:I37)</f>
        <v>93.234031488334594</v>
      </c>
      <c r="L27" s="43"/>
      <c r="M27" s="27">
        <v>9.5</v>
      </c>
      <c r="N27" s="30">
        <f t="shared" si="20"/>
        <v>44764</v>
      </c>
      <c r="O27" s="26">
        <f t="shared" si="0"/>
        <v>44522</v>
      </c>
      <c r="P27" s="55">
        <v>107</v>
      </c>
      <c r="Q27" s="56">
        <f t="shared" ca="1" si="49"/>
        <v>403.93809672555255</v>
      </c>
      <c r="R27" s="28">
        <f t="shared" ca="1" si="21"/>
        <v>6.1667085454955748</v>
      </c>
      <c r="S27" s="28">
        <f t="shared" si="1"/>
        <v>0.81421918499617874</v>
      </c>
      <c r="T27" s="29">
        <f t="shared" ca="1" si="50"/>
        <v>5.0210524060223776</v>
      </c>
      <c r="U27" s="33"/>
      <c r="V27" s="27">
        <v>9.5</v>
      </c>
      <c r="W27" s="30">
        <f t="shared" si="22"/>
        <v>44764</v>
      </c>
      <c r="X27" s="26">
        <f t="shared" si="2"/>
        <v>44522</v>
      </c>
      <c r="Y27" s="55">
        <v>107</v>
      </c>
      <c r="Z27" s="56">
        <f t="shared" ca="1" si="51"/>
        <v>357.54698483764128</v>
      </c>
      <c r="AA27" s="28">
        <f t="shared" ca="1" si="23"/>
        <v>5.4584800609003343</v>
      </c>
      <c r="AB27" s="28">
        <f t="shared" si="3"/>
        <v>0.81421918499617874</v>
      </c>
      <c r="AC27" s="29">
        <f t="shared" ca="1" si="24"/>
        <v>4.4443991865041621</v>
      </c>
      <c r="AD27" s="16"/>
      <c r="AE27" s="27">
        <v>9.5</v>
      </c>
      <c r="AF27" s="30">
        <f t="shared" si="25"/>
        <v>44764</v>
      </c>
      <c r="AG27" s="26">
        <f t="shared" si="4"/>
        <v>44522</v>
      </c>
      <c r="AH27" s="55">
        <v>107</v>
      </c>
      <c r="AI27" s="56">
        <f t="shared" ca="1" si="52"/>
        <v>437.83993269494334</v>
      </c>
      <c r="AJ27" s="28">
        <f t="shared" ca="1" si="26"/>
        <v>6.6842698829261344</v>
      </c>
      <c r="AK27" s="28">
        <f t="shared" si="5"/>
        <v>0.81421918499617874</v>
      </c>
      <c r="AL27" s="29">
        <f t="shared" ca="1" si="27"/>
        <v>5.4424607763706199</v>
      </c>
      <c r="AM27" s="33"/>
      <c r="AN27" s="27">
        <v>9.5</v>
      </c>
      <c r="AO27" s="30">
        <f t="shared" si="28"/>
        <v>44764</v>
      </c>
      <c r="AP27" s="26">
        <f t="shared" si="6"/>
        <v>44522</v>
      </c>
      <c r="AQ27" s="55">
        <v>107</v>
      </c>
      <c r="AR27" s="56">
        <f t="shared" ca="1" si="53"/>
        <v>296.11940263692236</v>
      </c>
      <c r="AS27" s="28">
        <f t="shared" ca="1" si="29"/>
        <v>4.5206977641647113</v>
      </c>
      <c r="AT27" s="28">
        <f t="shared" si="7"/>
        <v>0.81421918499617874</v>
      </c>
      <c r="AU27" s="29">
        <f t="shared" ca="1" si="30"/>
        <v>3.6808388491522388</v>
      </c>
      <c r="AV27" s="33"/>
      <c r="AW27" s="27">
        <v>9.5</v>
      </c>
      <c r="AX27" s="30">
        <f t="shared" si="31"/>
        <v>44764</v>
      </c>
      <c r="AY27" s="26">
        <f t="shared" si="8"/>
        <v>44522</v>
      </c>
      <c r="AZ27" s="55">
        <v>107</v>
      </c>
      <c r="BA27" s="56">
        <f t="shared" ca="1" si="54"/>
        <v>286.90451979598248</v>
      </c>
      <c r="BB27" s="28">
        <f t="shared" ca="1" si="32"/>
        <v>4.3800190383361501</v>
      </c>
      <c r="BC27" s="28">
        <f t="shared" si="9"/>
        <v>0.81421918499617874</v>
      </c>
      <c r="BD27" s="29">
        <f t="shared" ca="1" si="33"/>
        <v>3.5662955316618068</v>
      </c>
      <c r="BE27" s="33"/>
      <c r="BF27" s="27">
        <v>9.5</v>
      </c>
      <c r="BG27" s="30">
        <f t="shared" si="34"/>
        <v>44764</v>
      </c>
      <c r="BH27" s="26">
        <f t="shared" si="10"/>
        <v>44522</v>
      </c>
      <c r="BI27" s="55">
        <v>107</v>
      </c>
      <c r="BJ27" s="56">
        <f t="shared" ca="1" si="55"/>
        <v>436.77866530891043</v>
      </c>
      <c r="BK27" s="28">
        <f t="shared" ca="1" si="35"/>
        <v>6.6680680769772591</v>
      </c>
      <c r="BL27" s="28">
        <f t="shared" si="11"/>
        <v>0.81421918499617874</v>
      </c>
      <c r="BM27" s="29">
        <f t="shared" ca="1" si="36"/>
        <v>5.4292689551354609</v>
      </c>
      <c r="BN27" s="33"/>
      <c r="BO27" s="27">
        <v>9.5</v>
      </c>
      <c r="BP27" s="30">
        <f t="shared" si="37"/>
        <v>44764</v>
      </c>
      <c r="BQ27" s="26">
        <f t="shared" si="12"/>
        <v>44522</v>
      </c>
      <c r="BR27" s="55">
        <v>107</v>
      </c>
      <c r="BS27" s="56">
        <f t="shared" ca="1" si="56"/>
        <v>361.93187300637953</v>
      </c>
      <c r="BT27" s="28">
        <f t="shared" ca="1" si="38"/>
        <v>5.5254218214334401</v>
      </c>
      <c r="BU27" s="28">
        <f t="shared" si="13"/>
        <v>0.81421918499617874</v>
      </c>
      <c r="BV27" s="29">
        <f t="shared" ca="1" si="39"/>
        <v>4.4989044522076371</v>
      </c>
      <c r="BW27" s="33"/>
      <c r="BX27" s="27">
        <v>9.5</v>
      </c>
      <c r="BY27" s="30">
        <f t="shared" si="40"/>
        <v>44764</v>
      </c>
      <c r="BZ27" s="26">
        <f t="shared" si="14"/>
        <v>44522</v>
      </c>
      <c r="CA27" s="55">
        <v>107</v>
      </c>
      <c r="CB27" s="56">
        <f t="shared" ca="1" si="57"/>
        <v>342.41274158624424</v>
      </c>
      <c r="CC27" s="28">
        <f t="shared" ca="1" si="41"/>
        <v>5.2274336011963642</v>
      </c>
      <c r="CD27" s="28">
        <f t="shared" si="15"/>
        <v>0.81421918499617874</v>
      </c>
      <c r="CE27" s="29">
        <f t="shared" ca="1" si="42"/>
        <v>4.2562767263877435</v>
      </c>
      <c r="CF27" s="33"/>
      <c r="CG27" s="27">
        <v>9.5</v>
      </c>
      <c r="CH27" s="30">
        <f t="shared" si="43"/>
        <v>44764</v>
      </c>
      <c r="CI27" s="26">
        <f t="shared" si="16"/>
        <v>44522</v>
      </c>
      <c r="CJ27" s="55">
        <v>107</v>
      </c>
      <c r="CK27" s="56">
        <f t="shared" ca="1" si="58"/>
        <v>379.52927508600339</v>
      </c>
      <c r="CL27" s="28">
        <f t="shared" ca="1" si="44"/>
        <v>5.7940720197252551</v>
      </c>
      <c r="CM27" s="28">
        <f t="shared" si="17"/>
        <v>0.81421918499617874</v>
      </c>
      <c r="CN27" s="29">
        <f t="shared" ca="1" si="45"/>
        <v>4.7176445977098602</v>
      </c>
      <c r="CO27" s="33"/>
      <c r="CP27" s="27">
        <v>9.5</v>
      </c>
      <c r="CQ27" s="30">
        <f t="shared" si="46"/>
        <v>44764</v>
      </c>
      <c r="CR27" s="26">
        <f t="shared" si="18"/>
        <v>44522</v>
      </c>
      <c r="CS27" s="55">
        <v>107</v>
      </c>
      <c r="CT27" s="56">
        <f t="shared" ca="1" si="59"/>
        <v>386.33537563534134</v>
      </c>
      <c r="CU27" s="28">
        <f t="shared" ca="1" si="47"/>
        <v>5.8979771446920175</v>
      </c>
      <c r="CV27" s="28">
        <f t="shared" si="19"/>
        <v>0.81421918499617874</v>
      </c>
      <c r="CW27" s="29">
        <f t="shared" ca="1" si="48"/>
        <v>4.8022461438772241</v>
      </c>
      <c r="CX27" s="33"/>
      <c r="CY27" s="33"/>
    </row>
    <row r="28" spans="1:103" ht="16.5" x14ac:dyDescent="0.4">
      <c r="A28" s="16"/>
      <c r="B28" s="34"/>
      <c r="C28" s="64" t="s">
        <v>56</v>
      </c>
      <c r="D28" s="65">
        <f ca="1">Q2a!G15</f>
        <v>1.0424487790352939</v>
      </c>
      <c r="E28" s="116" t="s">
        <v>139</v>
      </c>
      <c r="F28" s="116"/>
      <c r="G28" s="33"/>
      <c r="H28" s="70" t="s">
        <v>107</v>
      </c>
      <c r="I28" s="57">
        <f ca="1">-$T$50</f>
        <v>460.03298328975097</v>
      </c>
      <c r="J28" s="61"/>
      <c r="K28" s="59"/>
      <c r="L28" s="43"/>
      <c r="M28" s="27">
        <v>10</v>
      </c>
      <c r="N28" s="30">
        <f t="shared" si="20"/>
        <v>44948</v>
      </c>
      <c r="O28" s="26">
        <f t="shared" si="0"/>
        <v>44703</v>
      </c>
      <c r="P28" s="55">
        <v>113</v>
      </c>
      <c r="Q28" s="56">
        <f t="shared" ca="1" si="49"/>
        <v>415.25332012035881</v>
      </c>
      <c r="R28" s="28">
        <f t="shared" ca="1" si="21"/>
        <v>6.3394520558715035</v>
      </c>
      <c r="S28" s="28">
        <f t="shared" si="1"/>
        <v>0.80545912603109504</v>
      </c>
      <c r="T28" s="29">
        <f t="shared" ca="1" si="50"/>
        <v>5.1061695124382895</v>
      </c>
      <c r="U28" s="33"/>
      <c r="V28" s="27">
        <v>10</v>
      </c>
      <c r="W28" s="30">
        <f t="shared" si="22"/>
        <v>44948</v>
      </c>
      <c r="X28" s="26">
        <f t="shared" si="2"/>
        <v>44703</v>
      </c>
      <c r="Y28" s="55">
        <v>113</v>
      </c>
      <c r="Z28" s="56">
        <f t="shared" ca="1" si="51"/>
        <v>365.0568335982843</v>
      </c>
      <c r="AA28" s="28">
        <f t="shared" ca="1" si="23"/>
        <v>5.5731289363172571</v>
      </c>
      <c r="AB28" s="28">
        <f t="shared" si="3"/>
        <v>0.80545912603109504</v>
      </c>
      <c r="AC28" s="29">
        <f t="shared" ca="1" si="24"/>
        <v>4.4889275623047045</v>
      </c>
      <c r="AD28" s="16"/>
      <c r="AE28" s="27">
        <v>10</v>
      </c>
      <c r="AF28" s="30">
        <f t="shared" si="25"/>
        <v>44948</v>
      </c>
      <c r="AG28" s="26">
        <f t="shared" si="4"/>
        <v>44703</v>
      </c>
      <c r="AH28" s="55">
        <v>113</v>
      </c>
      <c r="AI28" s="56">
        <f t="shared" ca="1" si="52"/>
        <v>452.14352402807037</v>
      </c>
      <c r="AJ28" s="28">
        <f t="shared" ca="1" si="26"/>
        <v>6.9026352206357897</v>
      </c>
      <c r="AK28" s="28">
        <f t="shared" si="5"/>
        <v>0.80545912603109504</v>
      </c>
      <c r="AL28" s="29">
        <f t="shared" ca="1" si="27"/>
        <v>5.559790532124758</v>
      </c>
      <c r="AM28" s="33"/>
      <c r="AN28" s="27">
        <v>10</v>
      </c>
      <c r="AO28" s="30">
        <f t="shared" si="28"/>
        <v>44948</v>
      </c>
      <c r="AP28" s="26">
        <f t="shared" si="6"/>
        <v>44703</v>
      </c>
      <c r="AQ28" s="55">
        <v>113</v>
      </c>
      <c r="AR28" s="56">
        <f t="shared" ca="1" si="53"/>
        <v>299.16004919353401</v>
      </c>
      <c r="AS28" s="28">
        <f t="shared" ca="1" si="29"/>
        <v>4.5671177014186819</v>
      </c>
      <c r="AT28" s="28">
        <f t="shared" si="7"/>
        <v>0.80545912603109504</v>
      </c>
      <c r="AU28" s="29">
        <f t="shared" ca="1" si="30"/>
        <v>3.6786266322658352</v>
      </c>
      <c r="AV28" s="33"/>
      <c r="AW28" s="27">
        <v>10</v>
      </c>
      <c r="AX28" s="30">
        <f t="shared" si="31"/>
        <v>44948</v>
      </c>
      <c r="AY28" s="26">
        <f t="shared" si="8"/>
        <v>44703</v>
      </c>
      <c r="AZ28" s="55">
        <v>113</v>
      </c>
      <c r="BA28" s="56">
        <f t="shared" ca="1" si="54"/>
        <v>289.33717998257623</v>
      </c>
      <c r="BB28" s="28">
        <f t="shared" ca="1" si="32"/>
        <v>4.4171571703483608</v>
      </c>
      <c r="BC28" s="28">
        <f t="shared" si="9"/>
        <v>0.80545912603109504</v>
      </c>
      <c r="BD28" s="29">
        <f t="shared" ca="1" si="33"/>
        <v>3.5578395539707754</v>
      </c>
      <c r="BE28" s="33"/>
      <c r="BF28" s="27">
        <v>10</v>
      </c>
      <c r="BG28" s="30">
        <f t="shared" si="34"/>
        <v>44948</v>
      </c>
      <c r="BH28" s="26">
        <f t="shared" si="10"/>
        <v>44703</v>
      </c>
      <c r="BI28" s="55">
        <v>113</v>
      </c>
      <c r="BJ28" s="56">
        <f t="shared" ca="1" si="55"/>
        <v>450.9862108652793</v>
      </c>
      <c r="BK28" s="28">
        <f t="shared" ca="1" si="35"/>
        <v>6.8849671347863701</v>
      </c>
      <c r="BL28" s="28">
        <f t="shared" si="11"/>
        <v>0.80545912603109504</v>
      </c>
      <c r="BM28" s="29">
        <f t="shared" ca="1" si="36"/>
        <v>5.5455596111378425</v>
      </c>
      <c r="BN28" s="33"/>
      <c r="BO28" s="27">
        <v>10</v>
      </c>
      <c r="BP28" s="30">
        <f t="shared" si="37"/>
        <v>44948</v>
      </c>
      <c r="BQ28" s="26">
        <f t="shared" si="12"/>
        <v>44703</v>
      </c>
      <c r="BR28" s="55">
        <v>113</v>
      </c>
      <c r="BS28" s="56">
        <f t="shared" ca="1" si="56"/>
        <v>369.78648662755205</v>
      </c>
      <c r="BT28" s="28">
        <f t="shared" ca="1" si="38"/>
        <v>5.6453340390031546</v>
      </c>
      <c r="BU28" s="28">
        <f t="shared" si="13"/>
        <v>0.80545912603109504</v>
      </c>
      <c r="BV28" s="29">
        <f t="shared" ca="1" si="39"/>
        <v>4.5470858212090723</v>
      </c>
      <c r="BW28" s="33"/>
      <c r="BX28" s="27">
        <v>10</v>
      </c>
      <c r="BY28" s="30">
        <f t="shared" si="40"/>
        <v>44948</v>
      </c>
      <c r="BZ28" s="26">
        <f t="shared" si="14"/>
        <v>44703</v>
      </c>
      <c r="CA28" s="55">
        <v>113</v>
      </c>
      <c r="CB28" s="56">
        <f t="shared" ca="1" si="57"/>
        <v>348.75786928204269</v>
      </c>
      <c r="CC28" s="28">
        <f t="shared" ca="1" si="41"/>
        <v>5.3243012982547233</v>
      </c>
      <c r="CD28" s="28">
        <f t="shared" si="15"/>
        <v>0.80545912603109504</v>
      </c>
      <c r="CE28" s="29">
        <f t="shared" ca="1" si="42"/>
        <v>4.2885070704184738</v>
      </c>
      <c r="CF28" s="33"/>
      <c r="CG28" s="27">
        <v>10</v>
      </c>
      <c r="CH28" s="30">
        <f t="shared" si="43"/>
        <v>44948</v>
      </c>
      <c r="CI28" s="26">
        <f t="shared" si="16"/>
        <v>44703</v>
      </c>
      <c r="CJ28" s="55">
        <v>113</v>
      </c>
      <c r="CK28" s="56">
        <f t="shared" ca="1" si="58"/>
        <v>388.79946782797072</v>
      </c>
      <c r="CL28" s="28">
        <f t="shared" ca="1" si="44"/>
        <v>5.9355951324588423</v>
      </c>
      <c r="CM28" s="28">
        <f t="shared" si="17"/>
        <v>0.80545912603109504</v>
      </c>
      <c r="CN28" s="29">
        <f t="shared" ca="1" si="45"/>
        <v>4.7808792678647212</v>
      </c>
      <c r="CO28" s="33"/>
      <c r="CP28" s="27">
        <v>10</v>
      </c>
      <c r="CQ28" s="30">
        <f t="shared" si="46"/>
        <v>44948</v>
      </c>
      <c r="CR28" s="26">
        <f t="shared" si="18"/>
        <v>44703</v>
      </c>
      <c r="CS28" s="55">
        <v>113</v>
      </c>
      <c r="CT28" s="56">
        <f t="shared" ca="1" si="59"/>
        <v>396.16646482206647</v>
      </c>
      <c r="CU28" s="28">
        <f t="shared" ca="1" si="47"/>
        <v>6.0480631657698902</v>
      </c>
      <c r="CV28" s="28">
        <f t="shared" si="19"/>
        <v>0.80545912603109504</v>
      </c>
      <c r="CW28" s="29">
        <f t="shared" ca="1" si="48"/>
        <v>4.8714676716818737</v>
      </c>
      <c r="CX28" s="33"/>
      <c r="CY28" s="33"/>
    </row>
    <row r="29" spans="1:103" ht="16.5" x14ac:dyDescent="0.4">
      <c r="A29" s="16"/>
      <c r="B29" s="34"/>
      <c r="C29" s="64" t="s">
        <v>57</v>
      </c>
      <c r="D29" s="65">
        <f ca="1">Q2a!G16</f>
        <v>1.0664043134032994</v>
      </c>
      <c r="E29" s="114" t="s">
        <v>140</v>
      </c>
      <c r="F29" s="115"/>
      <c r="G29" s="33"/>
      <c r="H29" s="70" t="s">
        <v>108</v>
      </c>
      <c r="I29" s="57">
        <f ca="1">-$AC$50</f>
        <v>403.19289946297192</v>
      </c>
      <c r="J29" s="61"/>
      <c r="K29" s="59"/>
      <c r="L29" s="43"/>
      <c r="M29" s="27">
        <v>10.5</v>
      </c>
      <c r="N29" s="30">
        <f t="shared" si="20"/>
        <v>45129</v>
      </c>
      <c r="O29" s="26">
        <f t="shared" si="0"/>
        <v>44887</v>
      </c>
      <c r="P29" s="55">
        <v>119</v>
      </c>
      <c r="Q29" s="56">
        <f t="shared" ca="1" si="49"/>
        <v>426.88550861826451</v>
      </c>
      <c r="R29" s="28">
        <f t="shared" ca="1" si="21"/>
        <v>6.517034504257369</v>
      </c>
      <c r="S29" s="28">
        <f t="shared" si="1"/>
        <v>0.79679331519290986</v>
      </c>
      <c r="T29" s="29">
        <f t="shared" ca="1" si="50"/>
        <v>5.1927295278738113</v>
      </c>
      <c r="U29" s="33"/>
      <c r="V29" s="27">
        <v>10.5</v>
      </c>
      <c r="W29" s="30">
        <f t="shared" si="22"/>
        <v>45129</v>
      </c>
      <c r="X29" s="26">
        <f t="shared" si="2"/>
        <v>44887</v>
      </c>
      <c r="Y29" s="55">
        <v>119</v>
      </c>
      <c r="Z29" s="56">
        <f t="shared" ca="1" si="51"/>
        <v>372.72441779174989</v>
      </c>
      <c r="AA29" s="28">
        <f t="shared" ca="1" si="23"/>
        <v>5.6901858748740501</v>
      </c>
      <c r="AB29" s="28">
        <f t="shared" si="3"/>
        <v>0.79679331519290986</v>
      </c>
      <c r="AC29" s="29">
        <f t="shared" ca="1" si="24"/>
        <v>4.533902067304763</v>
      </c>
      <c r="AD29" s="16"/>
      <c r="AE29" s="27">
        <v>10.5</v>
      </c>
      <c r="AF29" s="30">
        <f t="shared" si="25"/>
        <v>45129</v>
      </c>
      <c r="AG29" s="26">
        <f t="shared" si="4"/>
        <v>44887</v>
      </c>
      <c r="AH29" s="55">
        <v>119</v>
      </c>
      <c r="AI29" s="56">
        <f t="shared" ca="1" si="52"/>
        <v>466.91439280609796</v>
      </c>
      <c r="AJ29" s="28">
        <f t="shared" ca="1" si="26"/>
        <v>7.1281342351041976</v>
      </c>
      <c r="AK29" s="28">
        <f t="shared" si="5"/>
        <v>0.79679331519290986</v>
      </c>
      <c r="AL29" s="29">
        <f t="shared" ca="1" si="27"/>
        <v>5.6796497083287507</v>
      </c>
      <c r="AM29" s="33"/>
      <c r="AN29" s="27">
        <v>10.5</v>
      </c>
      <c r="AO29" s="30">
        <f t="shared" si="28"/>
        <v>45129</v>
      </c>
      <c r="AP29" s="26">
        <f t="shared" si="6"/>
        <v>44887</v>
      </c>
      <c r="AQ29" s="55">
        <v>119</v>
      </c>
      <c r="AR29" s="56">
        <f t="shared" ca="1" si="53"/>
        <v>302.23191805911921</v>
      </c>
      <c r="AS29" s="28">
        <f t="shared" ca="1" si="29"/>
        <v>4.6140142930935113</v>
      </c>
      <c r="AT29" s="28">
        <f t="shared" si="7"/>
        <v>0.79679331519290986</v>
      </c>
      <c r="AU29" s="29">
        <f t="shared" ca="1" si="30"/>
        <v>3.6764157449414494</v>
      </c>
      <c r="AV29" s="33"/>
      <c r="AW29" s="27">
        <v>10.5</v>
      </c>
      <c r="AX29" s="30">
        <f t="shared" si="31"/>
        <v>45129</v>
      </c>
      <c r="AY29" s="26">
        <f t="shared" si="8"/>
        <v>44887</v>
      </c>
      <c r="AZ29" s="55">
        <v>119</v>
      </c>
      <c r="BA29" s="56">
        <f t="shared" ca="1" si="54"/>
        <v>291.79046666744767</v>
      </c>
      <c r="BB29" s="28">
        <f t="shared" ca="1" si="32"/>
        <v>4.454610196162923</v>
      </c>
      <c r="BC29" s="28">
        <f t="shared" si="9"/>
        <v>0.79679331519290986</v>
      </c>
      <c r="BD29" s="29">
        <f t="shared" ca="1" si="33"/>
        <v>3.5494036260927939</v>
      </c>
      <c r="BE29" s="33"/>
      <c r="BF29" s="27">
        <v>10.5</v>
      </c>
      <c r="BG29" s="30">
        <f t="shared" si="34"/>
        <v>45129</v>
      </c>
      <c r="BH29" s="26">
        <f t="shared" si="10"/>
        <v>44887</v>
      </c>
      <c r="BI29" s="55">
        <v>119</v>
      </c>
      <c r="BJ29" s="56">
        <f t="shared" ca="1" si="55"/>
        <v>465.65589976052553</v>
      </c>
      <c r="BK29" s="28">
        <f t="shared" ca="1" si="35"/>
        <v>7.1089214896823387</v>
      </c>
      <c r="BL29" s="28">
        <f t="shared" si="11"/>
        <v>0.79679331519290986</v>
      </c>
      <c r="BM29" s="29">
        <f t="shared" ca="1" si="36"/>
        <v>5.6643411212101098</v>
      </c>
      <c r="BN29" s="33"/>
      <c r="BO29" s="27">
        <v>10.5</v>
      </c>
      <c r="BP29" s="30">
        <f t="shared" si="37"/>
        <v>45129</v>
      </c>
      <c r="BQ29" s="26">
        <f t="shared" si="12"/>
        <v>44887</v>
      </c>
      <c r="BR29" s="55">
        <v>119</v>
      </c>
      <c r="BS29" s="56">
        <f t="shared" ca="1" si="56"/>
        <v>377.81156038152653</v>
      </c>
      <c r="BT29" s="28">
        <f t="shared" ca="1" si="38"/>
        <v>5.7678485809540971</v>
      </c>
      <c r="BU29" s="28">
        <f t="shared" si="13"/>
        <v>0.79679331519290986</v>
      </c>
      <c r="BV29" s="29">
        <f t="shared" ca="1" si="39"/>
        <v>4.5957831923491357</v>
      </c>
      <c r="BW29" s="33"/>
      <c r="BX29" s="27">
        <v>10.5</v>
      </c>
      <c r="BY29" s="30">
        <f t="shared" si="40"/>
        <v>45129</v>
      </c>
      <c r="BZ29" s="26">
        <f t="shared" si="14"/>
        <v>44887</v>
      </c>
      <c r="CA29" s="55">
        <v>119</v>
      </c>
      <c r="CB29" s="56">
        <f t="shared" ca="1" si="57"/>
        <v>355.22057626326568</v>
      </c>
      <c r="CC29" s="28">
        <f t="shared" ca="1" si="41"/>
        <v>5.4229640158622168</v>
      </c>
      <c r="CD29" s="28">
        <f t="shared" si="15"/>
        <v>0.79679331519290986</v>
      </c>
      <c r="CE29" s="29">
        <f t="shared" ca="1" si="42"/>
        <v>4.3209814763707115</v>
      </c>
      <c r="CF29" s="33"/>
      <c r="CG29" s="27">
        <v>10.5</v>
      </c>
      <c r="CH29" s="30">
        <f t="shared" si="43"/>
        <v>45129</v>
      </c>
      <c r="CI29" s="26">
        <f t="shared" si="16"/>
        <v>44887</v>
      </c>
      <c r="CJ29" s="55">
        <v>119</v>
      </c>
      <c r="CK29" s="56">
        <f t="shared" ca="1" si="58"/>
        <v>398.2960896733419</v>
      </c>
      <c r="CL29" s="28">
        <f t="shared" ca="1" si="44"/>
        <v>6.0805750181440983</v>
      </c>
      <c r="CM29" s="28">
        <f t="shared" si="17"/>
        <v>0.79679331519290986</v>
      </c>
      <c r="CN29" s="29">
        <f t="shared" ca="1" si="45"/>
        <v>4.8449615269862241</v>
      </c>
      <c r="CO29" s="33"/>
      <c r="CP29" s="27">
        <v>10.5</v>
      </c>
      <c r="CQ29" s="30">
        <f t="shared" si="46"/>
        <v>45129</v>
      </c>
      <c r="CR29" s="26">
        <f t="shared" si="18"/>
        <v>44887</v>
      </c>
      <c r="CS29" s="55">
        <v>119</v>
      </c>
      <c r="CT29" s="56">
        <f t="shared" ca="1" si="59"/>
        <v>406.24772606315861</v>
      </c>
      <c r="CU29" s="28">
        <f t="shared" ca="1" si="47"/>
        <v>6.2019684308309744</v>
      </c>
      <c r="CV29" s="28">
        <f t="shared" si="19"/>
        <v>0.79679331519290986</v>
      </c>
      <c r="CW29" s="29">
        <f t="shared" ca="1" si="48"/>
        <v>4.9416869867235809</v>
      </c>
      <c r="CX29" s="33"/>
      <c r="CY29" s="33"/>
    </row>
    <row r="30" spans="1:103" ht="16.5" x14ac:dyDescent="0.4">
      <c r="A30" s="16"/>
      <c r="B30" s="42"/>
      <c r="C30" s="64" t="s">
        <v>58</v>
      </c>
      <c r="D30" s="65">
        <f ca="1">Q2a!G17</f>
        <v>1.0206420631939863</v>
      </c>
      <c r="E30" s="114" t="s">
        <v>141</v>
      </c>
      <c r="F30" s="115"/>
      <c r="G30" s="33"/>
      <c r="H30" s="70" t="s">
        <v>109</v>
      </c>
      <c r="I30" s="57">
        <f ca="1">-$AL$50</f>
        <v>459.91700385378437</v>
      </c>
      <c r="J30" s="61"/>
      <c r="K30" s="59"/>
      <c r="L30" s="43"/>
      <c r="M30" s="27">
        <v>11</v>
      </c>
      <c r="N30" s="30">
        <f t="shared" si="20"/>
        <v>45313</v>
      </c>
      <c r="O30" s="26">
        <f t="shared" si="0"/>
        <v>45068</v>
      </c>
      <c r="P30" s="55">
        <v>125</v>
      </c>
      <c r="Q30" s="56">
        <f t="shared" ca="1" si="49"/>
        <v>438.84354113160532</v>
      </c>
      <c r="R30" s="28">
        <f t="shared" ca="1" si="21"/>
        <v>6.6995914402956034</v>
      </c>
      <c r="S30" s="28">
        <f t="shared" si="1"/>
        <v>0.78822073848052587</v>
      </c>
      <c r="T30" s="29">
        <f t="shared" ca="1" si="50"/>
        <v>5.2807569125876102</v>
      </c>
      <c r="U30" s="33"/>
      <c r="V30" s="27">
        <v>11</v>
      </c>
      <c r="W30" s="30">
        <f t="shared" si="22"/>
        <v>45313</v>
      </c>
      <c r="X30" s="26">
        <f t="shared" si="2"/>
        <v>45068</v>
      </c>
      <c r="Y30" s="55">
        <v>125</v>
      </c>
      <c r="Z30" s="56">
        <f t="shared" ca="1" si="51"/>
        <v>380.55305046302192</v>
      </c>
      <c r="AA30" s="28">
        <f t="shared" ca="1" si="23"/>
        <v>5.8097014550701909</v>
      </c>
      <c r="AB30" s="28">
        <f t="shared" si="3"/>
        <v>0.78822073848052587</v>
      </c>
      <c r="AC30" s="29">
        <f t="shared" ca="1" si="24"/>
        <v>4.5793271712668115</v>
      </c>
      <c r="AD30" s="16"/>
      <c r="AE30" s="27">
        <v>11</v>
      </c>
      <c r="AF30" s="30">
        <f t="shared" si="25"/>
        <v>45313</v>
      </c>
      <c r="AG30" s="26">
        <f t="shared" si="4"/>
        <v>45068</v>
      </c>
      <c r="AH30" s="55">
        <v>125</v>
      </c>
      <c r="AI30" s="56">
        <f t="shared" ca="1" si="52"/>
        <v>482.16780430090267</v>
      </c>
      <c r="AJ30" s="28">
        <f t="shared" ca="1" si="26"/>
        <v>7.3609999731355433</v>
      </c>
      <c r="AK30" s="28">
        <f t="shared" si="5"/>
        <v>0.78822073848052587</v>
      </c>
      <c r="AL30" s="29">
        <f t="shared" ca="1" si="27"/>
        <v>5.8020928347800291</v>
      </c>
      <c r="AM30" s="33"/>
      <c r="AN30" s="27">
        <v>11</v>
      </c>
      <c r="AO30" s="30">
        <f t="shared" si="28"/>
        <v>45313</v>
      </c>
      <c r="AP30" s="26">
        <f t="shared" si="6"/>
        <v>45068</v>
      </c>
      <c r="AQ30" s="55">
        <v>125</v>
      </c>
      <c r="AR30" s="56">
        <f t="shared" ca="1" si="53"/>
        <v>305.33532983410294</v>
      </c>
      <c r="AS30" s="28">
        <f t="shared" ca="1" si="29"/>
        <v>4.6613924336257391</v>
      </c>
      <c r="AT30" s="28">
        <f t="shared" si="7"/>
        <v>0.78822073848052587</v>
      </c>
      <c r="AU30" s="29">
        <f t="shared" ca="1" si="30"/>
        <v>3.6742061863800157</v>
      </c>
      <c r="AV30" s="33"/>
      <c r="AW30" s="27">
        <v>11</v>
      </c>
      <c r="AX30" s="30">
        <f t="shared" si="31"/>
        <v>45313</v>
      </c>
      <c r="AY30" s="26">
        <f t="shared" si="8"/>
        <v>45068</v>
      </c>
      <c r="AZ30" s="55">
        <v>125</v>
      </c>
      <c r="BA30" s="56">
        <f t="shared" ca="1" si="54"/>
        <v>294.26455474244307</v>
      </c>
      <c r="BB30" s="28">
        <f t="shared" ca="1" si="32"/>
        <v>4.4923807857608358</v>
      </c>
      <c r="BC30" s="28">
        <f t="shared" si="9"/>
        <v>0.78822073848052587</v>
      </c>
      <c r="BD30" s="29">
        <f t="shared" ca="1" si="33"/>
        <v>3.5409877004881309</v>
      </c>
      <c r="BE30" s="33"/>
      <c r="BF30" s="27">
        <v>11</v>
      </c>
      <c r="BG30" s="30">
        <f t="shared" si="34"/>
        <v>45313</v>
      </c>
      <c r="BH30" s="26">
        <f t="shared" si="10"/>
        <v>45068</v>
      </c>
      <c r="BI30" s="55">
        <v>125</v>
      </c>
      <c r="BJ30" s="56">
        <f t="shared" ca="1" si="55"/>
        <v>480.80276460283778</v>
      </c>
      <c r="BK30" s="28">
        <f t="shared" ca="1" si="35"/>
        <v>7.3401606365163063</v>
      </c>
      <c r="BL30" s="28">
        <f t="shared" si="11"/>
        <v>0.78822073848052587</v>
      </c>
      <c r="BM30" s="29">
        <f t="shared" ca="1" si="36"/>
        <v>5.7856668374805702</v>
      </c>
      <c r="BN30" s="33"/>
      <c r="BO30" s="27">
        <v>11</v>
      </c>
      <c r="BP30" s="30">
        <f t="shared" si="37"/>
        <v>45313</v>
      </c>
      <c r="BQ30" s="26">
        <f t="shared" si="12"/>
        <v>45068</v>
      </c>
      <c r="BR30" s="55">
        <v>125</v>
      </c>
      <c r="BS30" s="56">
        <f t="shared" ca="1" si="56"/>
        <v>386.01079357908719</v>
      </c>
      <c r="BT30" s="28">
        <f t="shared" ca="1" si="38"/>
        <v>5.8930219227007212</v>
      </c>
      <c r="BU30" s="28">
        <f t="shared" si="13"/>
        <v>0.78822073848052587</v>
      </c>
      <c r="BV30" s="29">
        <f t="shared" ca="1" si="39"/>
        <v>4.6450020917930912</v>
      </c>
      <c r="BW30" s="33"/>
      <c r="BX30" s="27">
        <v>11</v>
      </c>
      <c r="BY30" s="30">
        <f t="shared" si="40"/>
        <v>45313</v>
      </c>
      <c r="BZ30" s="26">
        <f t="shared" si="14"/>
        <v>45068</v>
      </c>
      <c r="CA30" s="55">
        <v>125</v>
      </c>
      <c r="CB30" s="56">
        <f t="shared" ca="1" si="57"/>
        <v>361.80304134947744</v>
      </c>
      <c r="CC30" s="28">
        <f t="shared" ca="1" si="41"/>
        <v>5.5234550169007939</v>
      </c>
      <c r="CD30" s="28">
        <f t="shared" si="15"/>
        <v>0.78822073848052587</v>
      </c>
      <c r="CE30" s="29">
        <f t="shared" ca="1" si="42"/>
        <v>4.3537017923855093</v>
      </c>
      <c r="CF30" s="33"/>
      <c r="CG30" s="27">
        <v>11</v>
      </c>
      <c r="CH30" s="30">
        <f t="shared" si="43"/>
        <v>45313</v>
      </c>
      <c r="CI30" s="26">
        <f t="shared" si="16"/>
        <v>45068</v>
      </c>
      <c r="CJ30" s="55">
        <v>125</v>
      </c>
      <c r="CK30" s="56">
        <f t="shared" ca="1" si="58"/>
        <v>408.02467126644063</v>
      </c>
      <c r="CL30" s="28">
        <f t="shared" ca="1" si="44"/>
        <v>6.2290961101927005</v>
      </c>
      <c r="CM30" s="28">
        <f t="shared" si="17"/>
        <v>0.78822073848052587</v>
      </c>
      <c r="CN30" s="29">
        <f t="shared" ca="1" si="45"/>
        <v>4.9099027360422616</v>
      </c>
      <c r="CO30" s="33"/>
      <c r="CP30" s="27">
        <v>11</v>
      </c>
      <c r="CQ30" s="30">
        <f t="shared" si="46"/>
        <v>45313</v>
      </c>
      <c r="CR30" s="26">
        <f t="shared" si="18"/>
        <v>45068</v>
      </c>
      <c r="CS30" s="55">
        <v>125</v>
      </c>
      <c r="CT30" s="56">
        <f t="shared" ca="1" si="59"/>
        <v>416.58552549522761</v>
      </c>
      <c r="CU30" s="28">
        <f t="shared" ca="1" si="47"/>
        <v>6.3597901283042706</v>
      </c>
      <c r="CV30" s="28">
        <f t="shared" si="19"/>
        <v>0.78822073848052587</v>
      </c>
      <c r="CW30" s="29">
        <f t="shared" ca="1" si="48"/>
        <v>5.0129184715131503</v>
      </c>
      <c r="CX30" s="33"/>
      <c r="CY30" s="33"/>
    </row>
    <row r="31" spans="1:103" ht="16.5" x14ac:dyDescent="0.4">
      <c r="A31" s="16"/>
      <c r="B31" s="42"/>
      <c r="C31" s="64" t="s">
        <v>59</v>
      </c>
      <c r="D31" s="65">
        <f ca="1">Q2a!G18</f>
        <v>1.0170298706863858</v>
      </c>
      <c r="E31" s="114" t="s">
        <v>142</v>
      </c>
      <c r="F31" s="115"/>
      <c r="G31" s="33"/>
      <c r="H31" s="70" t="s">
        <v>110</v>
      </c>
      <c r="I31" s="57">
        <f ca="1">-$AU$50</f>
        <v>368.94353957032524</v>
      </c>
      <c r="J31" s="61"/>
      <c r="K31" s="59"/>
      <c r="L31" s="43"/>
      <c r="M31" s="27">
        <v>11.5</v>
      </c>
      <c r="N31" s="30">
        <f t="shared" si="20"/>
        <v>45495</v>
      </c>
      <c r="O31" s="26">
        <f t="shared" si="0"/>
        <v>45252</v>
      </c>
      <c r="P31" s="55">
        <v>131</v>
      </c>
      <c r="Q31" s="56">
        <f t="shared" ca="1" si="49"/>
        <v>451.13654529121487</v>
      </c>
      <c r="R31" s="28">
        <f t="shared" ca="1" si="21"/>
        <v>6.8872622106819446</v>
      </c>
      <c r="S31" s="28">
        <f t="shared" si="1"/>
        <v>0.77974039280232299</v>
      </c>
      <c r="T31" s="29">
        <f t="shared" ca="1" si="50"/>
        <v>5.3702765414897344</v>
      </c>
      <c r="U31" s="33"/>
      <c r="V31" s="27">
        <v>11.5</v>
      </c>
      <c r="W31" s="30">
        <f t="shared" si="22"/>
        <v>45495</v>
      </c>
      <c r="X31" s="26">
        <f t="shared" si="2"/>
        <v>45252</v>
      </c>
      <c r="Y31" s="55">
        <v>131</v>
      </c>
      <c r="Z31" s="56">
        <f t="shared" ca="1" si="51"/>
        <v>388.54611424365038</v>
      </c>
      <c r="AA31" s="28">
        <f t="shared" ca="1" si="23"/>
        <v>5.9317273177463283</v>
      </c>
      <c r="AB31" s="28">
        <f t="shared" si="3"/>
        <v>0.77974039280232299</v>
      </c>
      <c r="AC31" s="29">
        <f t="shared" ca="1" si="24"/>
        <v>4.6252073887357916</v>
      </c>
      <c r="AD31" s="16"/>
      <c r="AE31" s="27">
        <v>11.5</v>
      </c>
      <c r="AF31" s="30">
        <f t="shared" si="25"/>
        <v>45495</v>
      </c>
      <c r="AG31" s="26">
        <f t="shared" si="4"/>
        <v>45252</v>
      </c>
      <c r="AH31" s="55">
        <v>131</v>
      </c>
      <c r="AI31" s="56">
        <f t="shared" ca="1" si="52"/>
        <v>497.91952247850531</v>
      </c>
      <c r="AJ31" s="28">
        <f t="shared" ca="1" si="26"/>
        <v>7.6014730948328451</v>
      </c>
      <c r="AK31" s="28">
        <f t="shared" si="5"/>
        <v>0.77974039280232299</v>
      </c>
      <c r="AL31" s="29">
        <f t="shared" ca="1" si="27"/>
        <v>5.9271756168412528</v>
      </c>
      <c r="AM31" s="33"/>
      <c r="AN31" s="27">
        <v>11.5</v>
      </c>
      <c r="AO31" s="30">
        <f t="shared" si="28"/>
        <v>45495</v>
      </c>
      <c r="AP31" s="26">
        <f t="shared" si="6"/>
        <v>45252</v>
      </c>
      <c r="AQ31" s="55">
        <v>131</v>
      </c>
      <c r="AR31" s="56">
        <f t="shared" ca="1" si="53"/>
        <v>308.47060841093526</v>
      </c>
      <c r="AS31" s="28">
        <f t="shared" ca="1" si="29"/>
        <v>4.7092570677095038</v>
      </c>
      <c r="AT31" s="28">
        <f t="shared" si="7"/>
        <v>0.77974039280232299</v>
      </c>
      <c r="AU31" s="29">
        <f t="shared" ca="1" si="30"/>
        <v>3.6719979557829241</v>
      </c>
      <c r="AV31" s="33"/>
      <c r="AW31" s="27">
        <v>11.5</v>
      </c>
      <c r="AX31" s="30">
        <f t="shared" si="31"/>
        <v>45495</v>
      </c>
      <c r="AY31" s="26">
        <f t="shared" si="8"/>
        <v>45252</v>
      </c>
      <c r="AZ31" s="55">
        <v>131</v>
      </c>
      <c r="BA31" s="56">
        <f t="shared" ca="1" si="54"/>
        <v>296.75962058231448</v>
      </c>
      <c r="BB31" s="28">
        <f t="shared" ca="1" si="32"/>
        <v>4.5304716317618325</v>
      </c>
      <c r="BC31" s="28">
        <f t="shared" si="9"/>
        <v>0.77974039280232299</v>
      </c>
      <c r="BD31" s="29">
        <f t="shared" ca="1" si="33"/>
        <v>3.5325917297297527</v>
      </c>
      <c r="BE31" s="33"/>
      <c r="BF31" s="27">
        <v>11.5</v>
      </c>
      <c r="BG31" s="30">
        <f t="shared" si="34"/>
        <v>45495</v>
      </c>
      <c r="BH31" s="26">
        <f t="shared" si="10"/>
        <v>45252</v>
      </c>
      <c r="BI31" s="55">
        <v>131</v>
      </c>
      <c r="BJ31" s="56">
        <f t="shared" ca="1" si="55"/>
        <v>496.4423269813978</v>
      </c>
      <c r="BK31" s="28">
        <f t="shared" ca="1" si="35"/>
        <v>7.5789215351527242</v>
      </c>
      <c r="BL31" s="28">
        <f t="shared" si="11"/>
        <v>0.77974039280232299</v>
      </c>
      <c r="BM31" s="29">
        <f t="shared" ca="1" si="36"/>
        <v>5.9095912548379701</v>
      </c>
      <c r="BN31" s="33"/>
      <c r="BO31" s="27">
        <v>11.5</v>
      </c>
      <c r="BP31" s="30">
        <f t="shared" si="37"/>
        <v>45495</v>
      </c>
      <c r="BQ31" s="26">
        <f t="shared" si="12"/>
        <v>45252</v>
      </c>
      <c r="BR31" s="55">
        <v>131</v>
      </c>
      <c r="BS31" s="56">
        <f t="shared" ca="1" si="56"/>
        <v>394.38796581313488</v>
      </c>
      <c r="BT31" s="28">
        <f t="shared" ca="1" si="38"/>
        <v>6.0209117652819453</v>
      </c>
      <c r="BU31" s="28">
        <f t="shared" si="13"/>
        <v>0.77974039280232299</v>
      </c>
      <c r="BV31" s="29">
        <f t="shared" ca="1" si="39"/>
        <v>4.6947481048890722</v>
      </c>
      <c r="BW31" s="33"/>
      <c r="BX31" s="27">
        <v>11.5</v>
      </c>
      <c r="BY31" s="30">
        <f t="shared" si="40"/>
        <v>45495</v>
      </c>
      <c r="BZ31" s="26">
        <f t="shared" si="14"/>
        <v>45252</v>
      </c>
      <c r="CA31" s="55">
        <v>131</v>
      </c>
      <c r="CB31" s="56">
        <f t="shared" ca="1" si="57"/>
        <v>368.50748373516609</v>
      </c>
      <c r="CC31" s="28">
        <f t="shared" ca="1" si="41"/>
        <v>5.6258081806349374</v>
      </c>
      <c r="CD31" s="28">
        <f t="shared" si="15"/>
        <v>0.77974039280232299</v>
      </c>
      <c r="CE31" s="29">
        <f t="shared" ca="1" si="42"/>
        <v>4.3866698805988085</v>
      </c>
      <c r="CF31" s="33"/>
      <c r="CG31" s="27">
        <v>11.5</v>
      </c>
      <c r="CH31" s="30">
        <f t="shared" si="43"/>
        <v>45495</v>
      </c>
      <c r="CI31" s="26">
        <f t="shared" si="16"/>
        <v>45252</v>
      </c>
      <c r="CJ31" s="55">
        <v>131</v>
      </c>
      <c r="CK31" s="56">
        <f t="shared" ca="1" si="58"/>
        <v>417.99087834034992</v>
      </c>
      <c r="CL31" s="28">
        <f t="shared" ca="1" si="44"/>
        <v>6.3812449043447206</v>
      </c>
      <c r="CM31" s="28">
        <f t="shared" si="17"/>
        <v>0.77974039280232299</v>
      </c>
      <c r="CN31" s="29">
        <f t="shared" ca="1" si="45"/>
        <v>4.9757144082815747</v>
      </c>
      <c r="CO31" s="33"/>
      <c r="CP31" s="27">
        <v>11.5</v>
      </c>
      <c r="CQ31" s="30">
        <f t="shared" si="46"/>
        <v>45495</v>
      </c>
      <c r="CR31" s="26">
        <f t="shared" si="18"/>
        <v>45252</v>
      </c>
      <c r="CS31" s="55">
        <v>131</v>
      </c>
      <c r="CT31" s="56">
        <f t="shared" ca="1" si="59"/>
        <v>427.18639125417394</v>
      </c>
      <c r="CU31" s="28">
        <f t="shared" ca="1" si="47"/>
        <v>6.5216279197759714</v>
      </c>
      <c r="CV31" s="28">
        <f t="shared" si="19"/>
        <v>0.77974039280232299</v>
      </c>
      <c r="CW31" s="29">
        <f t="shared" ca="1" si="48"/>
        <v>5.0851767158767123</v>
      </c>
      <c r="CX31" s="33"/>
      <c r="CY31" s="33"/>
    </row>
    <row r="32" spans="1:103" ht="16.5" x14ac:dyDescent="0.4">
      <c r="A32" s="16"/>
      <c r="B32" s="42"/>
      <c r="C32" s="64" t="s">
        <v>60</v>
      </c>
      <c r="D32" s="65">
        <f ca="1">Q2a!G19</f>
        <v>1.0661141139556158</v>
      </c>
      <c r="E32" s="114" t="s">
        <v>143</v>
      </c>
      <c r="F32" s="115"/>
      <c r="G32" s="33"/>
      <c r="H32" s="70" t="s">
        <v>111</v>
      </c>
      <c r="I32" s="57">
        <f ca="1">-$BD$50</f>
        <v>540.21521840339017</v>
      </c>
      <c r="J32" s="61"/>
      <c r="K32" s="59"/>
      <c r="L32" s="43"/>
      <c r="M32" s="27">
        <v>12</v>
      </c>
      <c r="N32" s="30">
        <f t="shared" si="20"/>
        <v>45679</v>
      </c>
      <c r="O32" s="26">
        <f t="shared" si="0"/>
        <v>45434</v>
      </c>
      <c r="P32" s="55">
        <v>137</v>
      </c>
      <c r="Q32" s="56">
        <f t="shared" ca="1" si="49"/>
        <v>463.77390441359427</v>
      </c>
      <c r="R32" s="28">
        <f t="shared" ca="1" si="21"/>
        <v>7.0801900655295205</v>
      </c>
      <c r="S32" s="28">
        <f t="shared" si="1"/>
        <v>0.77135128585879409</v>
      </c>
      <c r="T32" s="29">
        <f t="shared" ca="1" si="50"/>
        <v>5.4613137111708552</v>
      </c>
      <c r="U32" s="33"/>
      <c r="V32" s="27">
        <v>12</v>
      </c>
      <c r="W32" s="30">
        <f t="shared" si="22"/>
        <v>45679</v>
      </c>
      <c r="X32" s="26">
        <f t="shared" si="2"/>
        <v>45434</v>
      </c>
      <c r="Y32" s="55">
        <v>137</v>
      </c>
      <c r="Z32" s="56">
        <f t="shared" ca="1" si="51"/>
        <v>396.70706281333378</v>
      </c>
      <c r="AA32" s="28">
        <f t="shared" ca="1" si="23"/>
        <v>6.0563161883974903</v>
      </c>
      <c r="AB32" s="28">
        <f t="shared" si="3"/>
        <v>0.77135128585879409</v>
      </c>
      <c r="AC32" s="29">
        <f t="shared" ca="1" si="24"/>
        <v>4.671547279487835</v>
      </c>
      <c r="AD32" s="16"/>
      <c r="AE32" s="27">
        <v>12</v>
      </c>
      <c r="AF32" s="30">
        <f t="shared" si="25"/>
        <v>45679</v>
      </c>
      <c r="AG32" s="26">
        <f t="shared" si="4"/>
        <v>45434</v>
      </c>
      <c r="AH32" s="55">
        <v>137</v>
      </c>
      <c r="AI32" s="56">
        <f t="shared" ca="1" si="52"/>
        <v>514.18582629068055</v>
      </c>
      <c r="AJ32" s="28">
        <f t="shared" ca="1" si="26"/>
        <v>7.8498021223133128</v>
      </c>
      <c r="AK32" s="28">
        <f t="shared" si="5"/>
        <v>0.77135128585879409</v>
      </c>
      <c r="AL32" s="29">
        <f t="shared" ca="1" si="27"/>
        <v>6.0549549607834647</v>
      </c>
      <c r="AM32" s="33"/>
      <c r="AN32" s="27">
        <v>12</v>
      </c>
      <c r="AO32" s="30">
        <f t="shared" si="28"/>
        <v>45679</v>
      </c>
      <c r="AP32" s="26">
        <f t="shared" si="6"/>
        <v>45434</v>
      </c>
      <c r="AQ32" s="55">
        <v>137</v>
      </c>
      <c r="AR32" s="56">
        <f t="shared" ca="1" si="53"/>
        <v>311.63808100789515</v>
      </c>
      <c r="AS32" s="28">
        <f t="shared" ca="1" si="29"/>
        <v>4.7576131908126111</v>
      </c>
      <c r="AT32" s="28">
        <f t="shared" si="7"/>
        <v>0.77135128585879409</v>
      </c>
      <c r="AU32" s="29">
        <f t="shared" ca="1" si="30"/>
        <v>3.669791052352068</v>
      </c>
      <c r="AV32" s="33"/>
      <c r="AW32" s="27">
        <v>12</v>
      </c>
      <c r="AX32" s="30">
        <f t="shared" si="31"/>
        <v>45679</v>
      </c>
      <c r="AY32" s="26">
        <f t="shared" si="8"/>
        <v>45434</v>
      </c>
      <c r="AZ32" s="55">
        <v>137</v>
      </c>
      <c r="BA32" s="56">
        <f t="shared" ca="1" si="54"/>
        <v>299.27584205729374</v>
      </c>
      <c r="BB32" s="28">
        <f t="shared" ca="1" si="32"/>
        <v>4.5688854496163458</v>
      </c>
      <c r="BC32" s="28">
        <f t="shared" si="9"/>
        <v>0.77135128585879409</v>
      </c>
      <c r="BD32" s="29">
        <f t="shared" ca="1" si="33"/>
        <v>3.5242156665031028</v>
      </c>
      <c r="BE32" s="33"/>
      <c r="BF32" s="27">
        <v>12</v>
      </c>
      <c r="BG32" s="30">
        <f t="shared" si="34"/>
        <v>45679</v>
      </c>
      <c r="BH32" s="26">
        <f t="shared" si="10"/>
        <v>45434</v>
      </c>
      <c r="BI32" s="55">
        <v>137</v>
      </c>
      <c r="BJ32" s="56">
        <f t="shared" ca="1" si="55"/>
        <v>512.59061337196499</v>
      </c>
      <c r="BK32" s="28">
        <f t="shared" ca="1" si="35"/>
        <v>7.8254488532914719</v>
      </c>
      <c r="BL32" s="28">
        <f t="shared" si="11"/>
        <v>0.77135128585879409</v>
      </c>
      <c r="BM32" s="29">
        <f t="shared" ca="1" si="36"/>
        <v>6.0361700354086025</v>
      </c>
      <c r="BN32" s="33"/>
      <c r="BO32" s="27">
        <v>12</v>
      </c>
      <c r="BP32" s="30">
        <f t="shared" si="37"/>
        <v>45679</v>
      </c>
      <c r="BQ32" s="26">
        <f t="shared" si="12"/>
        <v>45434</v>
      </c>
      <c r="BR32" s="55">
        <v>137</v>
      </c>
      <c r="BS32" s="56">
        <f t="shared" ca="1" si="56"/>
        <v>402.94693870096285</v>
      </c>
      <c r="BT32" s="28">
        <f t="shared" ca="1" si="38"/>
        <v>6.1515770619595553</v>
      </c>
      <c r="BU32" s="28">
        <f t="shared" si="13"/>
        <v>0.77135128585879409</v>
      </c>
      <c r="BV32" s="29">
        <f t="shared" ca="1" si="39"/>
        <v>4.7450268768019654</v>
      </c>
      <c r="BW32" s="33"/>
      <c r="BX32" s="27">
        <v>12</v>
      </c>
      <c r="BY32" s="30">
        <f t="shared" si="40"/>
        <v>45679</v>
      </c>
      <c r="BZ32" s="26">
        <f t="shared" si="14"/>
        <v>45434</v>
      </c>
      <c r="CA32" s="55">
        <v>137</v>
      </c>
      <c r="CB32" s="56">
        <f t="shared" ca="1" si="57"/>
        <v>375.33616373791665</v>
      </c>
      <c r="CC32" s="28">
        <f t="shared" ca="1" si="41"/>
        <v>5.7300580141336281</v>
      </c>
      <c r="CD32" s="28">
        <f t="shared" si="15"/>
        <v>0.77135128585879409</v>
      </c>
      <c r="CE32" s="29">
        <f t="shared" ca="1" si="42"/>
        <v>4.4198876172474622</v>
      </c>
      <c r="CF32" s="33"/>
      <c r="CG32" s="27">
        <v>12</v>
      </c>
      <c r="CH32" s="30">
        <f t="shared" si="43"/>
        <v>45679</v>
      </c>
      <c r="CI32" s="26">
        <f t="shared" si="16"/>
        <v>45434</v>
      </c>
      <c r="CJ32" s="55">
        <v>137</v>
      </c>
      <c r="CK32" s="56">
        <f t="shared" ca="1" si="58"/>
        <v>428.20051501652256</v>
      </c>
      <c r="CL32" s="28">
        <f t="shared" ca="1" si="44"/>
        <v>6.5371100090420269</v>
      </c>
      <c r="CM32" s="28">
        <f t="shared" si="17"/>
        <v>0.77135128585879409</v>
      </c>
      <c r="CN32" s="29">
        <f t="shared" ca="1" si="45"/>
        <v>5.0424082112749602</v>
      </c>
      <c r="CO32" s="33"/>
      <c r="CP32" s="27">
        <v>12</v>
      </c>
      <c r="CQ32" s="30">
        <f t="shared" si="46"/>
        <v>45679</v>
      </c>
      <c r="CR32" s="26">
        <f t="shared" si="18"/>
        <v>45434</v>
      </c>
      <c r="CS32" s="55">
        <v>137</v>
      </c>
      <c r="CT32" s="56">
        <f t="shared" ca="1" si="59"/>
        <v>438.05701759758989</v>
      </c>
      <c r="CU32" s="28">
        <f t="shared" ca="1" si="47"/>
        <v>6.6875840029239759</v>
      </c>
      <c r="CV32" s="28">
        <f t="shared" si="19"/>
        <v>0.77135128585879409</v>
      </c>
      <c r="CW32" s="29">
        <f t="shared" ca="1" si="48"/>
        <v>5.1584765199441103</v>
      </c>
      <c r="CX32" s="33"/>
      <c r="CY32" s="33"/>
    </row>
    <row r="33" spans="1:103" ht="16.5" x14ac:dyDescent="0.4">
      <c r="A33" s="16"/>
      <c r="B33" s="42"/>
      <c r="C33" s="64" t="s">
        <v>61</v>
      </c>
      <c r="D33" s="65">
        <f ca="1">Q2a!G20</f>
        <v>1.0438747967766495</v>
      </c>
      <c r="E33" s="114" t="s">
        <v>144</v>
      </c>
      <c r="F33" s="115"/>
      <c r="G33" s="33"/>
      <c r="H33" s="70" t="s">
        <v>112</v>
      </c>
      <c r="I33" s="57">
        <f ca="1">-$BM$50</f>
        <v>409.07555031535873</v>
      </c>
      <c r="J33" s="61"/>
      <c r="K33" s="59"/>
      <c r="L33" s="43"/>
      <c r="M33" s="27">
        <v>12.5</v>
      </c>
      <c r="N33" s="30">
        <f t="shared" si="20"/>
        <v>45860</v>
      </c>
      <c r="O33" s="26">
        <f t="shared" si="0"/>
        <v>45618</v>
      </c>
      <c r="P33" s="55">
        <v>143</v>
      </c>
      <c r="Q33" s="56">
        <f t="shared" ca="1" si="49"/>
        <v>476.76526466324856</v>
      </c>
      <c r="R33" s="28">
        <f t="shared" ca="1" si="21"/>
        <v>7.2785222677124368</v>
      </c>
      <c r="S33" s="28">
        <f t="shared" si="1"/>
        <v>0.76305243602642503</v>
      </c>
      <c r="T33" s="29">
        <f t="shared" ca="1" si="50"/>
        <v>5.5538941470505545</v>
      </c>
      <c r="U33" s="33"/>
      <c r="V33" s="27">
        <v>12.5</v>
      </c>
      <c r="W33" s="30">
        <f t="shared" si="22"/>
        <v>45860</v>
      </c>
      <c r="X33" s="26">
        <f t="shared" si="2"/>
        <v>45618</v>
      </c>
      <c r="Y33" s="55">
        <v>143</v>
      </c>
      <c r="Z33" s="56">
        <f t="shared" ca="1" si="51"/>
        <v>405.03942239220117</v>
      </c>
      <c r="AA33" s="28">
        <f t="shared" ca="1" si="23"/>
        <v>6.1835218999549593</v>
      </c>
      <c r="AB33" s="28">
        <f t="shared" si="3"/>
        <v>0.76305243602642503</v>
      </c>
      <c r="AC33" s="29">
        <f t="shared" ca="1" si="24"/>
        <v>4.7183514489833795</v>
      </c>
      <c r="AD33" s="16"/>
      <c r="AE33" s="27">
        <v>12.5</v>
      </c>
      <c r="AF33" s="30">
        <f t="shared" si="25"/>
        <v>45860</v>
      </c>
      <c r="AG33" s="26">
        <f t="shared" si="4"/>
        <v>45618</v>
      </c>
      <c r="AH33" s="55">
        <v>143</v>
      </c>
      <c r="AI33" s="56">
        <f t="shared" ca="1" si="52"/>
        <v>530.98352649878916</v>
      </c>
      <c r="AJ33" s="28">
        <f t="shared" ca="1" si="26"/>
        <v>8.1062436965488729</v>
      </c>
      <c r="AK33" s="28">
        <f t="shared" si="5"/>
        <v>0.76305243602642503</v>
      </c>
      <c r="AL33" s="29">
        <f t="shared" ca="1" si="27"/>
        <v>6.1854889996754698</v>
      </c>
      <c r="AM33" s="33"/>
      <c r="AN33" s="27">
        <v>12.5</v>
      </c>
      <c r="AO33" s="30">
        <f t="shared" si="28"/>
        <v>45860</v>
      </c>
      <c r="AP33" s="26">
        <f t="shared" si="6"/>
        <v>45618</v>
      </c>
      <c r="AQ33" s="55">
        <v>143</v>
      </c>
      <c r="AR33" s="56">
        <f t="shared" ca="1" si="53"/>
        <v>314.8380782032412</v>
      </c>
      <c r="AS33" s="28">
        <f t="shared" ca="1" si="29"/>
        <v>4.8064658496978909</v>
      </c>
      <c r="AT33" s="28">
        <f t="shared" si="7"/>
        <v>0.76305243602642503</v>
      </c>
      <c r="AU33" s="29">
        <f t="shared" ca="1" si="30"/>
        <v>3.6675854752897967</v>
      </c>
      <c r="AV33" s="33"/>
      <c r="AW33" s="27">
        <v>12.5</v>
      </c>
      <c r="AX33" s="30">
        <f t="shared" si="31"/>
        <v>45860</v>
      </c>
      <c r="AY33" s="26">
        <f t="shared" si="8"/>
        <v>45618</v>
      </c>
      <c r="AZ33" s="55">
        <v>143</v>
      </c>
      <c r="BA33" s="56">
        <f t="shared" ca="1" si="54"/>
        <v>301.81339854577226</v>
      </c>
      <c r="BB33" s="28">
        <f t="shared" ca="1" si="32"/>
        <v>4.6076249777990768</v>
      </c>
      <c r="BC33" s="28">
        <f t="shared" si="9"/>
        <v>0.76305243602642503</v>
      </c>
      <c r="BD33" s="29">
        <f t="shared" ca="1" si="33"/>
        <v>3.5158594636057883</v>
      </c>
      <c r="BE33" s="33"/>
      <c r="BF33" s="27">
        <v>12.5</v>
      </c>
      <c r="BG33" s="30">
        <f t="shared" si="34"/>
        <v>45860</v>
      </c>
      <c r="BH33" s="26">
        <f t="shared" si="10"/>
        <v>45618</v>
      </c>
      <c r="BI33" s="55">
        <v>143</v>
      </c>
      <c r="BJ33" s="56">
        <f t="shared" ca="1" si="55"/>
        <v>529.264171559837</v>
      </c>
      <c r="BK33" s="28">
        <f t="shared" ca="1" si="35"/>
        <v>8.0799952171884808</v>
      </c>
      <c r="BL33" s="28">
        <f t="shared" si="11"/>
        <v>0.76305243602642503</v>
      </c>
      <c r="BM33" s="29">
        <f t="shared" ca="1" si="36"/>
        <v>6.1654600335575331</v>
      </c>
      <c r="BN33" s="33"/>
      <c r="BO33" s="27">
        <v>12.5</v>
      </c>
      <c r="BP33" s="30">
        <f t="shared" si="37"/>
        <v>45860</v>
      </c>
      <c r="BQ33" s="26">
        <f t="shared" si="12"/>
        <v>45618</v>
      </c>
      <c r="BR33" s="55">
        <v>143</v>
      </c>
      <c r="BS33" s="56">
        <f t="shared" ca="1" si="56"/>
        <v>411.69165766434242</v>
      </c>
      <c r="BT33" s="28">
        <f t="shared" ca="1" si="38"/>
        <v>6.2850780453938286</v>
      </c>
      <c r="BU33" s="28">
        <f t="shared" si="13"/>
        <v>0.76305243602642503</v>
      </c>
      <c r="BV33" s="29">
        <f t="shared" ca="1" si="39"/>
        <v>4.7958441131539633</v>
      </c>
      <c r="BW33" s="33"/>
      <c r="BX33" s="27">
        <v>12.5</v>
      </c>
      <c r="BY33" s="30">
        <f t="shared" si="40"/>
        <v>45860</v>
      </c>
      <c r="BZ33" s="26">
        <f t="shared" si="14"/>
        <v>45618</v>
      </c>
      <c r="CA33" s="55">
        <v>143</v>
      </c>
      <c r="CB33" s="56">
        <f t="shared" ca="1" si="57"/>
        <v>382.29138356044871</v>
      </c>
      <c r="CC33" s="28">
        <f t="shared" ca="1" si="41"/>
        <v>5.8362396639039638</v>
      </c>
      <c r="CD33" s="28">
        <f t="shared" si="15"/>
        <v>0.76305243602642503</v>
      </c>
      <c r="CE33" s="29">
        <f t="shared" ca="1" si="42"/>
        <v>4.4533568927759637</v>
      </c>
      <c r="CF33" s="33"/>
      <c r="CG33" s="27">
        <v>12.5</v>
      </c>
      <c r="CH33" s="30">
        <f t="shared" si="43"/>
        <v>45860</v>
      </c>
      <c r="CI33" s="26">
        <f t="shared" si="16"/>
        <v>45618</v>
      </c>
      <c r="CJ33" s="55">
        <v>143</v>
      </c>
      <c r="CK33" s="56">
        <f t="shared" ca="1" si="58"/>
        <v>438.65952718498664</v>
      </c>
      <c r="CL33" s="28">
        <f t="shared" ca="1" si="44"/>
        <v>6.6967821970320873</v>
      </c>
      <c r="CM33" s="28">
        <f t="shared" si="17"/>
        <v>0.76305243602642503</v>
      </c>
      <c r="CN33" s="29">
        <f t="shared" ca="1" si="45"/>
        <v>5.1099959689837284</v>
      </c>
      <c r="CO33" s="33"/>
      <c r="CP33" s="27">
        <v>12.5</v>
      </c>
      <c r="CQ33" s="30">
        <f t="shared" si="46"/>
        <v>45860</v>
      </c>
      <c r="CR33" s="26">
        <f t="shared" si="18"/>
        <v>45618</v>
      </c>
      <c r="CS33" s="55">
        <v>143</v>
      </c>
      <c r="CT33" s="56">
        <f t="shared" ca="1" si="59"/>
        <v>449.2042691320641</v>
      </c>
      <c r="CU33" s="28">
        <f t="shared" ca="1" si="47"/>
        <v>6.8577631760539024</v>
      </c>
      <c r="CV33" s="28">
        <f t="shared" si="19"/>
        <v>0.76305243602642503</v>
      </c>
      <c r="CW33" s="29">
        <f t="shared" ca="1" si="48"/>
        <v>5.232832897180244</v>
      </c>
      <c r="CX33" s="33"/>
      <c r="CY33" s="33"/>
    </row>
    <row r="34" spans="1:103" ht="16.5" x14ac:dyDescent="0.4">
      <c r="A34" s="16"/>
      <c r="B34" s="42"/>
      <c r="C34" s="64" t="s">
        <v>62</v>
      </c>
      <c r="D34" s="65">
        <f ca="1">Q2a!G21</f>
        <v>1.037404667296224</v>
      </c>
      <c r="E34" s="114" t="s">
        <v>145</v>
      </c>
      <c r="F34" s="115"/>
      <c r="G34" s="33"/>
      <c r="H34" s="70" t="s">
        <v>113</v>
      </c>
      <c r="I34" s="57">
        <f ca="1">-$BV$50</f>
        <v>541.4650363476278</v>
      </c>
      <c r="J34" s="61"/>
      <c r="K34" s="59"/>
      <c r="L34" s="43"/>
      <c r="M34" s="27">
        <v>13</v>
      </c>
      <c r="N34" s="30">
        <f t="shared" si="20"/>
        <v>46044</v>
      </c>
      <c r="O34" s="26">
        <f t="shared" si="0"/>
        <v>45799</v>
      </c>
      <c r="P34" s="55">
        <v>149</v>
      </c>
      <c r="Q34" s="56">
        <f t="shared" ca="1" si="49"/>
        <v>490.12054241565608</v>
      </c>
      <c r="R34" s="28">
        <f t="shared" ca="1" si="21"/>
        <v>7.4824102052723216</v>
      </c>
      <c r="S34" s="28">
        <f t="shared" si="1"/>
        <v>0.75484287224284308</v>
      </c>
      <c r="T34" s="29">
        <f t="shared" ca="1" si="50"/>
        <v>5.6480440106469203</v>
      </c>
      <c r="U34" s="33"/>
      <c r="V34" s="27">
        <v>13</v>
      </c>
      <c r="W34" s="30">
        <f t="shared" si="22"/>
        <v>46044</v>
      </c>
      <c r="X34" s="26">
        <f t="shared" si="2"/>
        <v>45799</v>
      </c>
      <c r="Y34" s="55">
        <v>149</v>
      </c>
      <c r="Z34" s="56">
        <f t="shared" ca="1" si="51"/>
        <v>413.54679326443744</v>
      </c>
      <c r="AA34" s="28">
        <f t="shared" ca="1" si="23"/>
        <v>6.3133994160466482</v>
      </c>
      <c r="AB34" s="28">
        <f t="shared" si="3"/>
        <v>0.75484287224284308</v>
      </c>
      <c r="AC34" s="29">
        <f t="shared" ca="1" si="24"/>
        <v>4.76562454882494</v>
      </c>
      <c r="AD34" s="16"/>
      <c r="AE34" s="27">
        <v>13</v>
      </c>
      <c r="AF34" s="30">
        <f t="shared" si="25"/>
        <v>46044</v>
      </c>
      <c r="AG34" s="26">
        <f t="shared" si="4"/>
        <v>45799</v>
      </c>
      <c r="AH34" s="55">
        <v>149</v>
      </c>
      <c r="AI34" s="56">
        <f t="shared" ca="1" si="52"/>
        <v>548.32998304722139</v>
      </c>
      <c r="AJ34" s="28">
        <f t="shared" ca="1" si="26"/>
        <v>8.3710628425972917</v>
      </c>
      <c r="AK34" s="28">
        <f t="shared" si="5"/>
        <v>0.75484287224284308</v>
      </c>
      <c r="AL34" s="29">
        <f t="shared" ca="1" si="27"/>
        <v>6.3188371198314783</v>
      </c>
      <c r="AM34" s="33"/>
      <c r="AN34" s="27">
        <v>13</v>
      </c>
      <c r="AO34" s="30">
        <f t="shared" si="28"/>
        <v>46044</v>
      </c>
      <c r="AP34" s="26">
        <f t="shared" si="6"/>
        <v>45799</v>
      </c>
      <c r="AQ34" s="55">
        <v>149</v>
      </c>
      <c r="AR34" s="56">
        <f t="shared" ca="1" si="53"/>
        <v>318.07093396971277</v>
      </c>
      <c r="AS34" s="28">
        <f t="shared" ca="1" si="29"/>
        <v>4.8558201429499084</v>
      </c>
      <c r="AT34" s="28">
        <f t="shared" si="7"/>
        <v>0.75484287224284308</v>
      </c>
      <c r="AU34" s="29">
        <f t="shared" ca="1" si="30"/>
        <v>3.6653812237989616</v>
      </c>
      <c r="AV34" s="33"/>
      <c r="AW34" s="27">
        <v>13</v>
      </c>
      <c r="AX34" s="30">
        <f t="shared" si="31"/>
        <v>46044</v>
      </c>
      <c r="AY34" s="26">
        <f t="shared" si="8"/>
        <v>45799</v>
      </c>
      <c r="AZ34" s="55">
        <v>149</v>
      </c>
      <c r="BA34" s="56">
        <f t="shared" ca="1" si="54"/>
        <v>304.37247094708874</v>
      </c>
      <c r="BB34" s="28">
        <f t="shared" ca="1" si="32"/>
        <v>4.6466929780042232</v>
      </c>
      <c r="BC34" s="28">
        <f t="shared" si="9"/>
        <v>0.75484287224284308</v>
      </c>
      <c r="BD34" s="29">
        <f t="shared" ca="1" si="33"/>
        <v>3.507523073947358</v>
      </c>
      <c r="BE34" s="33"/>
      <c r="BF34" s="27">
        <v>13</v>
      </c>
      <c r="BG34" s="30">
        <f t="shared" si="34"/>
        <v>46044</v>
      </c>
      <c r="BH34" s="26">
        <f t="shared" si="10"/>
        <v>45799</v>
      </c>
      <c r="BI34" s="55">
        <v>149</v>
      </c>
      <c r="BJ34" s="56">
        <f t="shared" ca="1" si="55"/>
        <v>546.48008759701804</v>
      </c>
      <c r="BK34" s="28">
        <f t="shared" ca="1" si="35"/>
        <v>8.3428214705318258</v>
      </c>
      <c r="BL34" s="28">
        <f t="shared" si="11"/>
        <v>0.75484287224284308</v>
      </c>
      <c r="BM34" s="29">
        <f t="shared" ca="1" si="36"/>
        <v>6.2975193214255034</v>
      </c>
      <c r="BN34" s="33"/>
      <c r="BO34" s="27">
        <v>13</v>
      </c>
      <c r="BP34" s="30">
        <f t="shared" si="37"/>
        <v>46044</v>
      </c>
      <c r="BQ34" s="26">
        <f t="shared" si="12"/>
        <v>45799</v>
      </c>
      <c r="BR34" s="55">
        <v>149</v>
      </c>
      <c r="BS34" s="56">
        <f t="shared" ca="1" si="56"/>
        <v>420.62615374824065</v>
      </c>
      <c r="BT34" s="28">
        <f t="shared" ca="1" si="38"/>
        <v>6.4214762554089297</v>
      </c>
      <c r="BU34" s="28">
        <f t="shared" si="13"/>
        <v>0.75484287224284308</v>
      </c>
      <c r="BV34" s="29">
        <f t="shared" ca="1" si="39"/>
        <v>4.8472055806720933</v>
      </c>
      <c r="BW34" s="33"/>
      <c r="BX34" s="27">
        <v>13</v>
      </c>
      <c r="BY34" s="30">
        <f t="shared" si="40"/>
        <v>46044</v>
      </c>
      <c r="BZ34" s="26">
        <f t="shared" si="14"/>
        <v>45799</v>
      </c>
      <c r="CA34" s="55">
        <v>149</v>
      </c>
      <c r="CB34" s="56">
        <f t="shared" ca="1" si="57"/>
        <v>389.37548806677449</v>
      </c>
      <c r="CC34" s="28">
        <f t="shared" ca="1" si="41"/>
        <v>5.9443889277403583</v>
      </c>
      <c r="CD34" s="28">
        <f t="shared" si="15"/>
        <v>0.75484287224284308</v>
      </c>
      <c r="CE34" s="29">
        <f t="shared" ca="1" si="42"/>
        <v>4.4870796119440861</v>
      </c>
      <c r="CF34" s="33"/>
      <c r="CG34" s="27">
        <v>13</v>
      </c>
      <c r="CH34" s="30">
        <f t="shared" si="43"/>
        <v>46044</v>
      </c>
      <c r="CI34" s="26">
        <f t="shared" si="16"/>
        <v>45799</v>
      </c>
      <c r="CJ34" s="55">
        <v>149</v>
      </c>
      <c r="CK34" s="56">
        <f t="shared" ca="1" si="58"/>
        <v>449.37400596711382</v>
      </c>
      <c r="CL34" s="28">
        <f t="shared" ca="1" si="44"/>
        <v>6.8603544582322158</v>
      </c>
      <c r="CM34" s="28">
        <f t="shared" si="17"/>
        <v>0.75484287224284308</v>
      </c>
      <c r="CN34" s="29">
        <f t="shared" ca="1" si="45"/>
        <v>5.1784896638559994</v>
      </c>
      <c r="CO34" s="33"/>
      <c r="CP34" s="27">
        <v>13</v>
      </c>
      <c r="CQ34" s="30">
        <f t="shared" si="46"/>
        <v>46044</v>
      </c>
      <c r="CR34" s="26">
        <f t="shared" si="18"/>
        <v>45799</v>
      </c>
      <c r="CS34" s="55">
        <v>149</v>
      </c>
      <c r="CT34" s="56">
        <f t="shared" ca="1" si="59"/>
        <v>460.63518514805799</v>
      </c>
      <c r="CU34" s="28">
        <f t="shared" ca="1" si="47"/>
        <v>7.0322729042773471</v>
      </c>
      <c r="CV34" s="28">
        <f t="shared" si="19"/>
        <v>0.75484287224284308</v>
      </c>
      <c r="CW34" s="29">
        <f t="shared" ca="1" si="48"/>
        <v>5.3082610774602328</v>
      </c>
      <c r="CX34" s="33"/>
      <c r="CY34" s="33"/>
    </row>
    <row r="35" spans="1:103" ht="16.5" x14ac:dyDescent="0.4">
      <c r="A35" s="16"/>
      <c r="B35" s="42"/>
      <c r="C35" s="64" t="s">
        <v>63</v>
      </c>
      <c r="D35" s="65">
        <f ca="1">Q2a!G22</f>
        <v>1.0494476073896695</v>
      </c>
      <c r="E35" s="114" t="s">
        <v>146</v>
      </c>
      <c r="F35" s="115"/>
      <c r="G35" s="33"/>
      <c r="H35" s="70" t="s">
        <v>114</v>
      </c>
      <c r="I35" s="57">
        <f ca="1">-$CE$50</f>
        <v>376.97364770479646</v>
      </c>
      <c r="J35" s="60"/>
      <c r="K35" s="59"/>
      <c r="L35" s="43"/>
      <c r="M35" s="27">
        <v>13.5</v>
      </c>
      <c r="N35" s="30">
        <f t="shared" si="20"/>
        <v>46225</v>
      </c>
      <c r="O35" s="26">
        <f t="shared" si="0"/>
        <v>45983</v>
      </c>
      <c r="P35" s="55">
        <v>155</v>
      </c>
      <c r="Q35" s="56">
        <f t="shared" ca="1" si="49"/>
        <v>503.84993182649134</v>
      </c>
      <c r="R35" s="28">
        <f t="shared" ca="1" si="21"/>
        <v>7.6920095069736378</v>
      </c>
      <c r="S35" s="28">
        <f t="shared" si="1"/>
        <v>0.74672163389318102</v>
      </c>
      <c r="T35" s="29">
        <f t="shared" ca="1" si="50"/>
        <v>5.7437899069692371</v>
      </c>
      <c r="U35" s="33"/>
      <c r="V35" s="27">
        <v>13.5</v>
      </c>
      <c r="W35" s="30">
        <f t="shared" si="22"/>
        <v>46225</v>
      </c>
      <c r="X35" s="26">
        <f t="shared" si="2"/>
        <v>45983</v>
      </c>
      <c r="Y35" s="55">
        <v>155</v>
      </c>
      <c r="Z35" s="56">
        <f t="shared" ca="1" si="51"/>
        <v>422.23285133391079</v>
      </c>
      <c r="AA35" s="28">
        <f t="shared" ca="1" si="23"/>
        <v>6.4460048547460476</v>
      </c>
      <c r="AB35" s="28">
        <f t="shared" si="3"/>
        <v>0.74672163389318102</v>
      </c>
      <c r="AC35" s="29">
        <f t="shared" ca="1" si="24"/>
        <v>4.8133712772193453</v>
      </c>
      <c r="AD35" s="16"/>
      <c r="AE35" s="27">
        <v>13.5</v>
      </c>
      <c r="AF35" s="30">
        <f t="shared" si="25"/>
        <v>46225</v>
      </c>
      <c r="AG35" s="26">
        <f t="shared" si="4"/>
        <v>45983</v>
      </c>
      <c r="AH35" s="55">
        <v>155</v>
      </c>
      <c r="AI35" s="56">
        <f t="shared" ca="1" si="52"/>
        <v>566.24312300440397</v>
      </c>
      <c r="AJ35" s="28">
        <f t="shared" ca="1" si="26"/>
        <v>8.6445332434980244</v>
      </c>
      <c r="AK35" s="28">
        <f t="shared" si="5"/>
        <v>0.74672163389318102</v>
      </c>
      <c r="AL35" s="29">
        <f t="shared" ca="1" si="27"/>
        <v>6.4550599878287649</v>
      </c>
      <c r="AM35" s="33"/>
      <c r="AN35" s="27">
        <v>13.5</v>
      </c>
      <c r="AO35" s="30">
        <f t="shared" si="28"/>
        <v>46225</v>
      </c>
      <c r="AP35" s="26">
        <f t="shared" si="6"/>
        <v>45983</v>
      </c>
      <c r="AQ35" s="55">
        <v>155</v>
      </c>
      <c r="AR35" s="56">
        <f t="shared" ca="1" si="53"/>
        <v>321.33698570938571</v>
      </c>
      <c r="AS35" s="28">
        <f t="shared" ca="1" si="29"/>
        <v>4.9056812215070913</v>
      </c>
      <c r="AT35" s="28">
        <f t="shared" si="7"/>
        <v>0.74672163389318102</v>
      </c>
      <c r="AU35" s="29">
        <f t="shared" ca="1" si="30"/>
        <v>3.6631782970828715</v>
      </c>
      <c r="AV35" s="33"/>
      <c r="AW35" s="27">
        <v>13.5</v>
      </c>
      <c r="AX35" s="30">
        <f t="shared" si="31"/>
        <v>46225</v>
      </c>
      <c r="AY35" s="26">
        <f t="shared" si="8"/>
        <v>45983</v>
      </c>
      <c r="AZ35" s="55">
        <v>155</v>
      </c>
      <c r="BA35" s="56">
        <f t="shared" ca="1" si="54"/>
        <v>306.9532416944254</v>
      </c>
      <c r="BB35" s="28">
        <f t="shared" ca="1" si="32"/>
        <v>4.6860922353423566</v>
      </c>
      <c r="BC35" s="28">
        <f t="shared" si="9"/>
        <v>0.74672163389318102</v>
      </c>
      <c r="BD35" s="29">
        <f t="shared" ca="1" si="33"/>
        <v>3.4992064505489937</v>
      </c>
      <c r="BE35" s="33"/>
      <c r="BF35" s="27">
        <v>13.5</v>
      </c>
      <c r="BG35" s="30">
        <f t="shared" si="34"/>
        <v>46225</v>
      </c>
      <c r="BH35" s="26">
        <f t="shared" si="10"/>
        <v>45983</v>
      </c>
      <c r="BI35" s="55">
        <v>155</v>
      </c>
      <c r="BJ35" s="56">
        <f t="shared" ca="1" si="55"/>
        <v>564.25600331096859</v>
      </c>
      <c r="BK35" s="28">
        <f t="shared" ca="1" si="35"/>
        <v>8.6141969417385109</v>
      </c>
      <c r="BL35" s="28">
        <f t="shared" si="11"/>
        <v>0.74672163389318102</v>
      </c>
      <c r="BM35" s="29">
        <f t="shared" ca="1" si="36"/>
        <v>6.4324072150126241</v>
      </c>
      <c r="BN35" s="33"/>
      <c r="BO35" s="27">
        <v>13.5</v>
      </c>
      <c r="BP35" s="30">
        <f t="shared" si="37"/>
        <v>46225</v>
      </c>
      <c r="BQ35" s="26">
        <f t="shared" si="12"/>
        <v>45983</v>
      </c>
      <c r="BR35" s="55">
        <v>155</v>
      </c>
      <c r="BS35" s="56">
        <f t="shared" ca="1" si="56"/>
        <v>429.75454547900739</v>
      </c>
      <c r="BT35" s="28">
        <f t="shared" ca="1" si="38"/>
        <v>6.5608345673608639</v>
      </c>
      <c r="BU35" s="28">
        <f t="shared" si="13"/>
        <v>0.74672163389318102</v>
      </c>
      <c r="BV35" s="29">
        <f t="shared" ca="1" si="39"/>
        <v>4.8991171078425655</v>
      </c>
      <c r="BW35" s="33"/>
      <c r="BX35" s="27">
        <v>13.5</v>
      </c>
      <c r="BY35" s="30">
        <f t="shared" si="40"/>
        <v>46225</v>
      </c>
      <c r="BZ35" s="26">
        <f t="shared" si="14"/>
        <v>45983</v>
      </c>
      <c r="CA35" s="55">
        <v>155</v>
      </c>
      <c r="CB35" s="56">
        <f t="shared" ca="1" si="57"/>
        <v>396.59086557274048</v>
      </c>
      <c r="CC35" s="28">
        <f t="shared" ca="1" si="41"/>
        <v>6.0545422667933178</v>
      </c>
      <c r="CD35" s="28">
        <f t="shared" si="15"/>
        <v>0.74672163389318102</v>
      </c>
      <c r="CE35" s="29">
        <f t="shared" ca="1" si="42"/>
        <v>4.52105769393523</v>
      </c>
      <c r="CF35" s="33"/>
      <c r="CG35" s="27">
        <v>13.5</v>
      </c>
      <c r="CH35" s="30">
        <f t="shared" si="43"/>
        <v>46225</v>
      </c>
      <c r="CI35" s="26">
        <f t="shared" si="16"/>
        <v>45983</v>
      </c>
      <c r="CJ35" s="55">
        <v>155</v>
      </c>
      <c r="CK35" s="56">
        <f t="shared" ca="1" si="58"/>
        <v>460.35019126296794</v>
      </c>
      <c r="CL35" s="28">
        <f t="shared" ca="1" si="44"/>
        <v>7.0279220538850584</v>
      </c>
      <c r="CM35" s="28">
        <f t="shared" si="17"/>
        <v>0.74672163389318102</v>
      </c>
      <c r="CN35" s="29">
        <f t="shared" ca="1" si="45"/>
        <v>5.2479014389509713</v>
      </c>
      <c r="CO35" s="33"/>
      <c r="CP35" s="27">
        <v>13.5</v>
      </c>
      <c r="CQ35" s="30">
        <f t="shared" si="46"/>
        <v>46225</v>
      </c>
      <c r="CR35" s="26">
        <f t="shared" si="18"/>
        <v>45983</v>
      </c>
      <c r="CS35" s="55">
        <v>155</v>
      </c>
      <c r="CT35" s="56">
        <f t="shared" ca="1" si="59"/>
        <v>472.35698406509175</v>
      </c>
      <c r="CU35" s="28">
        <f t="shared" ca="1" si="47"/>
        <v>7.2112233873741811</v>
      </c>
      <c r="CV35" s="28">
        <f t="shared" si="19"/>
        <v>0.74672163389318102</v>
      </c>
      <c r="CW35" s="29">
        <f t="shared" ca="1" si="48"/>
        <v>5.3847765101887681</v>
      </c>
      <c r="CX35" s="33"/>
      <c r="CY35" s="33"/>
    </row>
    <row r="36" spans="1:103" ht="16.5" x14ac:dyDescent="0.4">
      <c r="A36" s="16"/>
      <c r="B36" s="42"/>
      <c r="C36" s="64" t="s">
        <v>64</v>
      </c>
      <c r="D36" s="65">
        <f ca="1">Q2a!G23</f>
        <v>1.0515416181991379</v>
      </c>
      <c r="E36" s="114" t="s">
        <v>147</v>
      </c>
      <c r="F36" s="115"/>
      <c r="G36" s="33"/>
      <c r="H36" s="70" t="s">
        <v>115</v>
      </c>
      <c r="I36" s="57">
        <f ca="1">-$CN$50</f>
        <v>224.1463267367584</v>
      </c>
      <c r="J36" s="60"/>
      <c r="K36" s="59"/>
      <c r="L36" s="43"/>
      <c r="M36" s="27">
        <v>14</v>
      </c>
      <c r="N36" s="30">
        <f t="shared" si="20"/>
        <v>46409</v>
      </c>
      <c r="O36" s="26">
        <f t="shared" si="0"/>
        <v>46164</v>
      </c>
      <c r="P36" s="55">
        <v>161</v>
      </c>
      <c r="Q36" s="56">
        <f t="shared" ca="1" si="49"/>
        <v>517.96391261287954</v>
      </c>
      <c r="R36" s="28">
        <f t="shared" ca="1" si="21"/>
        <v>7.9074801610959584</v>
      </c>
      <c r="S36" s="28">
        <f t="shared" si="1"/>
        <v>0.73868777069768476</v>
      </c>
      <c r="T36" s="29">
        <f t="shared" ca="1" si="50"/>
        <v>5.8411588920361428</v>
      </c>
      <c r="U36" s="33"/>
      <c r="V36" s="27">
        <v>14</v>
      </c>
      <c r="W36" s="30">
        <f t="shared" si="22"/>
        <v>46409</v>
      </c>
      <c r="X36" s="26">
        <f t="shared" si="2"/>
        <v>46164</v>
      </c>
      <c r="Y36" s="55">
        <v>161</v>
      </c>
      <c r="Z36" s="56">
        <f t="shared" ca="1" si="51"/>
        <v>431.10134971247396</v>
      </c>
      <c r="AA36" s="28">
        <f t="shared" ca="1" si="23"/>
        <v>6.5813955128199666</v>
      </c>
      <c r="AB36" s="28">
        <f t="shared" si="3"/>
        <v>0.73868777069768476</v>
      </c>
      <c r="AC36" s="29">
        <f t="shared" ca="1" si="24"/>
        <v>4.8615963794447268</v>
      </c>
      <c r="AD36" s="16"/>
      <c r="AE36" s="27">
        <v>14</v>
      </c>
      <c r="AF36" s="30">
        <f t="shared" si="25"/>
        <v>46409</v>
      </c>
      <c r="AG36" s="26">
        <f t="shared" si="4"/>
        <v>46164</v>
      </c>
      <c r="AH36" s="55">
        <v>161</v>
      </c>
      <c r="AI36" s="56">
        <f t="shared" ca="1" si="52"/>
        <v>584.74145908991488</v>
      </c>
      <c r="AJ36" s="28">
        <f t="shared" ca="1" si="26"/>
        <v>8.9269375231158357</v>
      </c>
      <c r="AK36" s="28">
        <f t="shared" si="5"/>
        <v>0.73868777069768476</v>
      </c>
      <c r="AL36" s="29">
        <f t="shared" ca="1" si="27"/>
        <v>6.594219578107948</v>
      </c>
      <c r="AM36" s="33"/>
      <c r="AN36" s="27">
        <v>14</v>
      </c>
      <c r="AO36" s="30">
        <f t="shared" si="28"/>
        <v>46409</v>
      </c>
      <c r="AP36" s="26">
        <f t="shared" si="6"/>
        <v>46164</v>
      </c>
      <c r="AQ36" s="55">
        <v>161</v>
      </c>
      <c r="AR36" s="56">
        <f t="shared" ca="1" si="53"/>
        <v>324.63657428888581</v>
      </c>
      <c r="AS36" s="28">
        <f t="shared" ca="1" si="29"/>
        <v>4.9560542891993125</v>
      </c>
      <c r="AT36" s="28">
        <f t="shared" si="7"/>
        <v>0.73868777069768476</v>
      </c>
      <c r="AU36" s="29">
        <f t="shared" ca="1" si="30"/>
        <v>3.6609766943453388</v>
      </c>
      <c r="AV36" s="33"/>
      <c r="AW36" s="27">
        <v>14</v>
      </c>
      <c r="AX36" s="30">
        <f t="shared" si="31"/>
        <v>46409</v>
      </c>
      <c r="AY36" s="26">
        <f t="shared" si="8"/>
        <v>46164</v>
      </c>
      <c r="AZ36" s="55">
        <v>161</v>
      </c>
      <c r="BA36" s="56">
        <f t="shared" ca="1" si="54"/>
        <v>309.55589476781336</v>
      </c>
      <c r="BB36" s="28">
        <f t="shared" ca="1" si="32"/>
        <v>4.725825558538971</v>
      </c>
      <c r="BC36" s="28">
        <f t="shared" si="9"/>
        <v>0.73868777069768476</v>
      </c>
      <c r="BD36" s="29">
        <f t="shared" ca="1" si="33"/>
        <v>3.4909095465432936</v>
      </c>
      <c r="BE36" s="33"/>
      <c r="BF36" s="27">
        <v>14</v>
      </c>
      <c r="BG36" s="30">
        <f t="shared" si="34"/>
        <v>46409</v>
      </c>
      <c r="BH36" s="26">
        <f t="shared" si="10"/>
        <v>46164</v>
      </c>
      <c r="BI36" s="55">
        <v>161</v>
      </c>
      <c r="BJ36" s="56">
        <f t="shared" ca="1" si="55"/>
        <v>582.61013438288228</v>
      </c>
      <c r="BK36" s="28">
        <f t="shared" ca="1" si="35"/>
        <v>8.8943997199459268</v>
      </c>
      <c r="BL36" s="28">
        <f t="shared" si="11"/>
        <v>0.73868777069768476</v>
      </c>
      <c r="BM36" s="29">
        <f t="shared" ca="1" si="36"/>
        <v>6.5701843008209684</v>
      </c>
      <c r="BN36" s="33"/>
      <c r="BO36" s="27">
        <v>14</v>
      </c>
      <c r="BP36" s="30">
        <f t="shared" si="37"/>
        <v>46409</v>
      </c>
      <c r="BQ36" s="26">
        <f t="shared" si="12"/>
        <v>46164</v>
      </c>
      <c r="BR36" s="55">
        <v>161</v>
      </c>
      <c r="BS36" s="56">
        <f t="shared" ca="1" si="56"/>
        <v>439.08104076288839</v>
      </c>
      <c r="BT36" s="28">
        <f t="shared" ca="1" si="38"/>
        <v>6.7032172211210757</v>
      </c>
      <c r="BU36" s="28">
        <f t="shared" si="13"/>
        <v>0.73868777069768476</v>
      </c>
      <c r="BV36" s="29">
        <f t="shared" ca="1" si="39"/>
        <v>4.9515845855722569</v>
      </c>
      <c r="BW36" s="33"/>
      <c r="BX36" s="27">
        <v>14</v>
      </c>
      <c r="BY36" s="30">
        <f t="shared" si="40"/>
        <v>46409</v>
      </c>
      <c r="BZ36" s="26">
        <f t="shared" si="14"/>
        <v>46164</v>
      </c>
      <c r="CA36" s="55">
        <v>161</v>
      </c>
      <c r="CB36" s="56">
        <f t="shared" ca="1" si="57"/>
        <v>403.93994865121709</v>
      </c>
      <c r="CC36" s="28">
        <f t="shared" ca="1" si="41"/>
        <v>6.1667368178618451</v>
      </c>
      <c r="CD36" s="28">
        <f t="shared" si="15"/>
        <v>0.73868777069768476</v>
      </c>
      <c r="CE36" s="29">
        <f t="shared" ca="1" si="42"/>
        <v>4.5552930724657008</v>
      </c>
      <c r="CF36" s="33"/>
      <c r="CG36" s="27">
        <v>14</v>
      </c>
      <c r="CH36" s="30">
        <f t="shared" si="43"/>
        <v>46409</v>
      </c>
      <c r="CI36" s="26">
        <f t="shared" si="16"/>
        <v>46164</v>
      </c>
      <c r="CJ36" s="55">
        <v>161</v>
      </c>
      <c r="CK36" s="56">
        <f t="shared" ca="1" si="58"/>
        <v>471.59447538529867</v>
      </c>
      <c r="CL36" s="28">
        <f t="shared" ca="1" si="44"/>
        <v>7.1995825720368503</v>
      </c>
      <c r="CM36" s="28">
        <f t="shared" si="17"/>
        <v>0.73868777069768476</v>
      </c>
      <c r="CN36" s="29">
        <f t="shared" ca="1" si="45"/>
        <v>5.3182436000918045</v>
      </c>
      <c r="CO36" s="33"/>
      <c r="CP36" s="27">
        <v>14</v>
      </c>
      <c r="CQ36" s="30">
        <f t="shared" si="46"/>
        <v>46409</v>
      </c>
      <c r="CR36" s="26">
        <f t="shared" si="18"/>
        <v>46164</v>
      </c>
      <c r="CS36" s="55">
        <v>161</v>
      </c>
      <c r="CT36" s="56">
        <f t="shared" ca="1" si="59"/>
        <v>484.37706799004837</v>
      </c>
      <c r="CU36" s="28">
        <f t="shared" ca="1" si="47"/>
        <v>7.3947276293817525</v>
      </c>
      <c r="CV36" s="28">
        <f t="shared" si="19"/>
        <v>0.73868777069768476</v>
      </c>
      <c r="CW36" s="29">
        <f t="shared" ca="1" si="48"/>
        <v>5.4623948674645817</v>
      </c>
      <c r="CX36" s="33"/>
      <c r="CY36" s="33"/>
    </row>
    <row r="37" spans="1:103" ht="16.5" x14ac:dyDescent="0.4">
      <c r="A37" s="16"/>
      <c r="B37" s="42"/>
      <c r="C37" s="64" t="s">
        <v>65</v>
      </c>
      <c r="D37" s="65">
        <f ca="1">Q2a!G24</f>
        <v>1.0515187447191754</v>
      </c>
      <c r="E37" s="114" t="s">
        <v>148</v>
      </c>
      <c r="F37" s="115"/>
      <c r="G37" s="33"/>
      <c r="H37" s="70" t="s">
        <v>116</v>
      </c>
      <c r="I37" s="57">
        <f ca="1">-$CW$50</f>
        <v>537.31941818650773</v>
      </c>
      <c r="J37" s="66"/>
      <c r="K37" s="67"/>
      <c r="L37" s="43"/>
      <c r="M37" s="27">
        <v>14.5</v>
      </c>
      <c r="N37" s="30">
        <f t="shared" si="20"/>
        <v>46590</v>
      </c>
      <c r="O37" s="26">
        <f t="shared" si="0"/>
        <v>46348</v>
      </c>
      <c r="P37" s="55">
        <v>167</v>
      </c>
      <c r="Q37" s="56">
        <f t="shared" ca="1" si="49"/>
        <v>532.47325805262085</v>
      </c>
      <c r="R37" s="28">
        <f t="shared" ca="1" si="21"/>
        <v>8.1289866375538899</v>
      </c>
      <c r="S37" s="28">
        <f t="shared" si="1"/>
        <v>0.73074034260050791</v>
      </c>
      <c r="T37" s="29">
        <f t="shared" ca="1" si="50"/>
        <v>5.9401784805210802</v>
      </c>
      <c r="U37" s="33"/>
      <c r="V37" s="27">
        <v>14.5</v>
      </c>
      <c r="W37" s="30">
        <f t="shared" si="22"/>
        <v>46590</v>
      </c>
      <c r="X37" s="26">
        <f t="shared" si="2"/>
        <v>46348</v>
      </c>
      <c r="Y37" s="55">
        <v>167</v>
      </c>
      <c r="Z37" s="56">
        <f t="shared" ca="1" si="51"/>
        <v>440.15612034162604</v>
      </c>
      <c r="AA37" s="28">
        <f t="shared" ca="1" si="23"/>
        <v>6.719629890485594</v>
      </c>
      <c r="AB37" s="28">
        <f t="shared" si="3"/>
        <v>0.73074034260050791</v>
      </c>
      <c r="AC37" s="29">
        <f t="shared" ca="1" si="24"/>
        <v>4.9103046483220565</v>
      </c>
      <c r="AD37" s="16"/>
      <c r="AE37" s="27">
        <v>14.5</v>
      </c>
      <c r="AF37" s="30">
        <f t="shared" si="25"/>
        <v>46590</v>
      </c>
      <c r="AG37" s="26">
        <f t="shared" si="4"/>
        <v>46348</v>
      </c>
      <c r="AH37" s="55">
        <v>167</v>
      </c>
      <c r="AI37" s="56">
        <f t="shared" ca="1" si="52"/>
        <v>603.84410880685141</v>
      </c>
      <c r="AJ37" s="28">
        <f t="shared" ca="1" si="26"/>
        <v>9.2185675382245087</v>
      </c>
      <c r="AK37" s="28">
        <f t="shared" si="5"/>
        <v>0.73074034260050791</v>
      </c>
      <c r="AL37" s="29">
        <f t="shared" ca="1" si="27"/>
        <v>6.7363792011680985</v>
      </c>
      <c r="AM37" s="33"/>
      <c r="AN37" s="27">
        <v>14.5</v>
      </c>
      <c r="AO37" s="30">
        <f t="shared" si="28"/>
        <v>46590</v>
      </c>
      <c r="AP37" s="26">
        <f t="shared" si="6"/>
        <v>46348</v>
      </c>
      <c r="AQ37" s="55">
        <v>167</v>
      </c>
      <c r="AR37" s="56">
        <f t="shared" ca="1" si="53"/>
        <v>327.97004407496388</v>
      </c>
      <c r="AS37" s="28">
        <f t="shared" ca="1" si="29"/>
        <v>5.0069446032909921</v>
      </c>
      <c r="AT37" s="28">
        <f t="shared" si="7"/>
        <v>0.73074034260050791</v>
      </c>
      <c r="AU37" s="29">
        <f t="shared" ca="1" si="30"/>
        <v>3.6587764147906237</v>
      </c>
      <c r="AV37" s="33"/>
      <c r="AW37" s="27">
        <v>14.5</v>
      </c>
      <c r="AX37" s="30">
        <f t="shared" si="31"/>
        <v>46590</v>
      </c>
      <c r="AY37" s="26">
        <f t="shared" si="8"/>
        <v>46348</v>
      </c>
      <c r="AZ37" s="55">
        <v>167</v>
      </c>
      <c r="BA37" s="56">
        <f t="shared" ca="1" si="54"/>
        <v>312.18061570724842</v>
      </c>
      <c r="BB37" s="28">
        <f t="shared" ca="1" si="32"/>
        <v>4.7658957801347137</v>
      </c>
      <c r="BC37" s="28">
        <f t="shared" si="9"/>
        <v>0.73074034260050791</v>
      </c>
      <c r="BD37" s="29">
        <f t="shared" ca="1" si="33"/>
        <v>3.4826323151739556</v>
      </c>
      <c r="BE37" s="33"/>
      <c r="BF37" s="27">
        <v>14.5</v>
      </c>
      <c r="BG37" s="30">
        <f t="shared" si="34"/>
        <v>46590</v>
      </c>
      <c r="BH37" s="26">
        <f t="shared" si="10"/>
        <v>46348</v>
      </c>
      <c r="BI37" s="55">
        <v>167</v>
      </c>
      <c r="BJ37" s="56">
        <f t="shared" ca="1" si="55"/>
        <v>601.56128901401041</v>
      </c>
      <c r="BK37" s="28">
        <f t="shared" ca="1" si="35"/>
        <v>9.1837169399807301</v>
      </c>
      <c r="BL37" s="28">
        <f t="shared" si="11"/>
        <v>0.73074034260050791</v>
      </c>
      <c r="BM37" s="29">
        <f t="shared" ca="1" si="36"/>
        <v>6.7109124630676069</v>
      </c>
      <c r="BN37" s="33"/>
      <c r="BO37" s="27">
        <v>14.5</v>
      </c>
      <c r="BP37" s="30">
        <f t="shared" si="37"/>
        <v>46590</v>
      </c>
      <c r="BQ37" s="26">
        <f t="shared" si="12"/>
        <v>46348</v>
      </c>
      <c r="BR37" s="55">
        <v>167</v>
      </c>
      <c r="BS37" s="56">
        <f t="shared" ca="1" si="56"/>
        <v>448.60993882574019</v>
      </c>
      <c r="BT37" s="28">
        <f t="shared" ca="1" si="38"/>
        <v>6.8486898506890395</v>
      </c>
      <c r="BU37" s="28">
        <f t="shared" si="13"/>
        <v>0.73074034260050791</v>
      </c>
      <c r="BV37" s="29">
        <f t="shared" ca="1" si="39"/>
        <v>5.0046139678571304</v>
      </c>
      <c r="BW37" s="33"/>
      <c r="BX37" s="27">
        <v>14.5</v>
      </c>
      <c r="BY37" s="30">
        <f t="shared" si="40"/>
        <v>46590</v>
      </c>
      <c r="BZ37" s="26">
        <f t="shared" si="14"/>
        <v>46348</v>
      </c>
      <c r="CA37" s="55">
        <v>167</v>
      </c>
      <c r="CB37" s="56">
        <f t="shared" ca="1" si="57"/>
        <v>411.4252149522103</v>
      </c>
      <c r="CC37" s="28">
        <f t="shared" ca="1" si="41"/>
        <v>6.2810104059136478</v>
      </c>
      <c r="CD37" s="28">
        <f t="shared" si="15"/>
        <v>0.73074034260050791</v>
      </c>
      <c r="CE37" s="29">
        <f t="shared" ca="1" si="42"/>
        <v>4.5897876958946942</v>
      </c>
      <c r="CF37" s="33"/>
      <c r="CG37" s="27">
        <v>14.5</v>
      </c>
      <c r="CH37" s="30">
        <f t="shared" si="43"/>
        <v>46590</v>
      </c>
      <c r="CI37" s="26">
        <f t="shared" si="16"/>
        <v>46348</v>
      </c>
      <c r="CJ37" s="55">
        <v>167</v>
      </c>
      <c r="CK37" s="56">
        <f t="shared" ca="1" si="58"/>
        <v>483.1134067822984</v>
      </c>
      <c r="CL37" s="28">
        <f t="shared" ca="1" si="44"/>
        <v>7.3754359843707658</v>
      </c>
      <c r="CM37" s="28">
        <f t="shared" si="17"/>
        <v>0.73074034260050791</v>
      </c>
      <c r="CN37" s="29">
        <f t="shared" ca="1" si="45"/>
        <v>5.3895286180472075</v>
      </c>
      <c r="CO37" s="33"/>
      <c r="CP37" s="27">
        <v>14.5</v>
      </c>
      <c r="CQ37" s="30">
        <f t="shared" si="46"/>
        <v>46590</v>
      </c>
      <c r="CR37" s="26">
        <f t="shared" si="18"/>
        <v>46348</v>
      </c>
      <c r="CS37" s="55">
        <v>167</v>
      </c>
      <c r="CT37" s="56">
        <f t="shared" ca="1" si="59"/>
        <v>496.7030273914711</v>
      </c>
      <c r="CU37" s="28">
        <f t="shared" ca="1" si="47"/>
        <v>7.5829015099549162</v>
      </c>
      <c r="CV37" s="28">
        <f t="shared" si="19"/>
        <v>0.73074034260050791</v>
      </c>
      <c r="CW37" s="29">
        <f t="shared" ca="1" si="48"/>
        <v>5.5411320472903638</v>
      </c>
      <c r="CX37" s="33"/>
      <c r="CY37" s="33"/>
    </row>
    <row r="38" spans="1:103" ht="16.5" x14ac:dyDescent="0.4">
      <c r="A38" s="16"/>
      <c r="B38" s="42"/>
      <c r="C38" s="64" t="s">
        <v>66</v>
      </c>
      <c r="D38" s="65">
        <f ca="1">Q2a!G25</f>
        <v>1.0416436277504755</v>
      </c>
      <c r="E38" s="114" t="s">
        <v>149</v>
      </c>
      <c r="F38" s="115"/>
      <c r="G38" s="33"/>
      <c r="H38" s="33"/>
      <c r="I38" s="33"/>
      <c r="J38" s="33"/>
      <c r="K38" s="33"/>
      <c r="L38" s="43"/>
      <c r="M38" s="27">
        <v>15</v>
      </c>
      <c r="N38" s="30">
        <f t="shared" si="20"/>
        <v>46774</v>
      </c>
      <c r="O38" s="26">
        <f t="shared" si="0"/>
        <v>46529</v>
      </c>
      <c r="P38" s="55">
        <v>173</v>
      </c>
      <c r="Q38" s="56">
        <f t="shared" ca="1" si="49"/>
        <v>547.38904320749157</v>
      </c>
      <c r="R38" s="28">
        <f t="shared" ca="1" si="21"/>
        <v>8.3566980134378337</v>
      </c>
      <c r="S38" s="28">
        <f t="shared" si="1"/>
        <v>0.72287841965972655</v>
      </c>
      <c r="T38" s="29">
        <f t="shared" ca="1" si="50"/>
        <v>6.0408766535275173</v>
      </c>
      <c r="U38" s="33"/>
      <c r="V38" s="27">
        <v>15</v>
      </c>
      <c r="W38" s="30">
        <f t="shared" si="22"/>
        <v>46774</v>
      </c>
      <c r="X38" s="26">
        <f t="shared" si="2"/>
        <v>46529</v>
      </c>
      <c r="Y38" s="55">
        <v>173</v>
      </c>
      <c r="Z38" s="56">
        <f t="shared" ca="1" si="51"/>
        <v>449.40107564823569</v>
      </c>
      <c r="AA38" s="28">
        <f t="shared" ca="1" si="23"/>
        <v>6.860767716687536</v>
      </c>
      <c r="AB38" s="28">
        <f t="shared" si="3"/>
        <v>0.72287841965972655</v>
      </c>
      <c r="AC38" s="29">
        <f t="shared" ca="1" si="24"/>
        <v>4.9595009246915565</v>
      </c>
      <c r="AD38" s="16"/>
      <c r="AE38" s="27">
        <v>15</v>
      </c>
      <c r="AF38" s="30">
        <f t="shared" si="25"/>
        <v>46774</v>
      </c>
      <c r="AG38" s="26">
        <f t="shared" si="4"/>
        <v>46529</v>
      </c>
      <c r="AH38" s="55">
        <v>173</v>
      </c>
      <c r="AI38" s="56">
        <f t="shared" ca="1" si="52"/>
        <v>623.57081419922429</v>
      </c>
      <c r="AJ38" s="28">
        <f t="shared" ca="1" si="26"/>
        <v>9.5197246801324962</v>
      </c>
      <c r="AK38" s="28">
        <f t="shared" si="5"/>
        <v>0.72287841965972655</v>
      </c>
      <c r="AL38" s="29">
        <f t="shared" ca="1" si="27"/>
        <v>6.8816035323698745</v>
      </c>
      <c r="AM38" s="33"/>
      <c r="AN38" s="27">
        <v>15</v>
      </c>
      <c r="AO38" s="30">
        <f t="shared" si="28"/>
        <v>46774</v>
      </c>
      <c r="AP38" s="26">
        <f t="shared" si="6"/>
        <v>46529</v>
      </c>
      <c r="AQ38" s="55">
        <v>173</v>
      </c>
      <c r="AR38" s="56">
        <f t="shared" ca="1" si="53"/>
        <v>331.33774297043624</v>
      </c>
      <c r="AS38" s="28">
        <f t="shared" ca="1" si="29"/>
        <v>5.0583574750297906</v>
      </c>
      <c r="AT38" s="28">
        <f t="shared" si="7"/>
        <v>0.72287841965972655</v>
      </c>
      <c r="AU38" s="29">
        <f t="shared" ca="1" si="30"/>
        <v>3.6565774576234995</v>
      </c>
      <c r="AV38" s="33"/>
      <c r="AW38" s="27">
        <v>15</v>
      </c>
      <c r="AX38" s="30">
        <f t="shared" si="31"/>
        <v>46774</v>
      </c>
      <c r="AY38" s="26">
        <f t="shared" si="8"/>
        <v>46529</v>
      </c>
      <c r="AZ38" s="55">
        <v>173</v>
      </c>
      <c r="BA38" s="56">
        <f t="shared" ca="1" si="54"/>
        <v>314.82759162591771</v>
      </c>
      <c r="BB38" s="28">
        <f t="shared" ca="1" si="32"/>
        <v>4.8063057566873075</v>
      </c>
      <c r="BC38" s="28">
        <f t="shared" si="9"/>
        <v>0.72287841965972655</v>
      </c>
      <c r="BD38" s="29">
        <f t="shared" ca="1" si="33"/>
        <v>3.4743747097955668</v>
      </c>
      <c r="BE38" s="33"/>
      <c r="BF38" s="27">
        <v>15</v>
      </c>
      <c r="BG38" s="30">
        <f t="shared" si="34"/>
        <v>46774</v>
      </c>
      <c r="BH38" s="26">
        <f t="shared" si="10"/>
        <v>46529</v>
      </c>
      <c r="BI38" s="55">
        <v>173</v>
      </c>
      <c r="BJ38" s="56">
        <f t="shared" ca="1" si="55"/>
        <v>621.12888719916873</v>
      </c>
      <c r="BK38" s="28">
        <f t="shared" ca="1" si="35"/>
        <v>9.4824450765972284</v>
      </c>
      <c r="BL38" s="28">
        <f t="shared" si="11"/>
        <v>0.72287841965972655</v>
      </c>
      <c r="BM38" s="29">
        <f t="shared" ca="1" si="36"/>
        <v>6.8546549114807593</v>
      </c>
      <c r="BN38" s="33"/>
      <c r="BO38" s="27">
        <v>15</v>
      </c>
      <c r="BP38" s="30">
        <f t="shared" si="37"/>
        <v>46774</v>
      </c>
      <c r="BQ38" s="26">
        <f t="shared" si="12"/>
        <v>46529</v>
      </c>
      <c r="BR38" s="55">
        <v>173</v>
      </c>
      <c r="BS38" s="56">
        <f t="shared" ca="1" si="56"/>
        <v>458.34563219483988</v>
      </c>
      <c r="BT38" s="28">
        <f t="shared" ca="1" si="38"/>
        <v>6.9973195144475007</v>
      </c>
      <c r="BU38" s="28">
        <f t="shared" si="13"/>
        <v>0.72287841965972655</v>
      </c>
      <c r="BV38" s="29">
        <f t="shared" ca="1" si="39"/>
        <v>5.0582112724579744</v>
      </c>
      <c r="BW38" s="33"/>
      <c r="BX38" s="27">
        <v>15</v>
      </c>
      <c r="BY38" s="30">
        <f t="shared" si="40"/>
        <v>46774</v>
      </c>
      <c r="BZ38" s="26">
        <f t="shared" si="14"/>
        <v>46529</v>
      </c>
      <c r="CA38" s="55">
        <v>173</v>
      </c>
      <c r="CB38" s="56">
        <f t="shared" ca="1" si="57"/>
        <v>419.04918803816969</v>
      </c>
      <c r="CC38" s="28">
        <f t="shared" ca="1" si="41"/>
        <v>6.3974015568373437</v>
      </c>
      <c r="CD38" s="28">
        <f t="shared" si="15"/>
        <v>0.72287841965972655</v>
      </c>
      <c r="CE38" s="29">
        <f t="shared" ca="1" si="42"/>
        <v>4.6245435273352529</v>
      </c>
      <c r="CF38" s="33"/>
      <c r="CG38" s="27">
        <v>15</v>
      </c>
      <c r="CH38" s="30">
        <f t="shared" si="43"/>
        <v>46774</v>
      </c>
      <c r="CI38" s="26">
        <f t="shared" si="16"/>
        <v>46529</v>
      </c>
      <c r="CJ38" s="55">
        <v>173</v>
      </c>
      <c r="CK38" s="56">
        <f t="shared" ca="1" si="58"/>
        <v>494.91369385128803</v>
      </c>
      <c r="CL38" s="28">
        <f t="shared" ca="1" si="44"/>
        <v>7.5555847044284352</v>
      </c>
      <c r="CM38" s="28">
        <f t="shared" si="17"/>
        <v>0.72287841965972655</v>
      </c>
      <c r="CN38" s="29">
        <f t="shared" ca="1" si="45"/>
        <v>5.4617691307424296</v>
      </c>
      <c r="CO38" s="33"/>
      <c r="CP38" s="27">
        <v>15</v>
      </c>
      <c r="CQ38" s="30">
        <f t="shared" si="46"/>
        <v>46774</v>
      </c>
      <c r="CR38" s="26">
        <f t="shared" si="18"/>
        <v>46529</v>
      </c>
      <c r="CS38" s="55">
        <v>173</v>
      </c>
      <c r="CT38" s="56">
        <f t="shared" ca="1" si="59"/>
        <v>509.34264589280934</v>
      </c>
      <c r="CU38" s="28">
        <f t="shared" ca="1" si="47"/>
        <v>7.7758638575419639</v>
      </c>
      <c r="CV38" s="28">
        <f t="shared" si="19"/>
        <v>0.72287841965972655</v>
      </c>
      <c r="CW38" s="29">
        <f t="shared" ca="1" si="48"/>
        <v>5.6210041768291195</v>
      </c>
      <c r="CX38" s="33"/>
      <c r="CY38" s="33"/>
    </row>
    <row r="39" spans="1:103" ht="16.5" x14ac:dyDescent="0.4">
      <c r="A39" s="16"/>
      <c r="B39" s="42"/>
      <c r="C39" s="64" t="s">
        <v>67</v>
      </c>
      <c r="D39" s="65">
        <f ca="1">Q2a!G26</f>
        <v>1.0514999259050863</v>
      </c>
      <c r="E39" s="114" t="s">
        <v>150</v>
      </c>
      <c r="F39" s="115"/>
      <c r="G39" s="33"/>
      <c r="H39" s="33"/>
      <c r="I39" s="33"/>
      <c r="J39" s="33"/>
      <c r="K39" s="33"/>
      <c r="L39" s="43"/>
      <c r="M39" s="27">
        <v>15.5</v>
      </c>
      <c r="N39" s="30">
        <f t="shared" si="20"/>
        <v>46956</v>
      </c>
      <c r="O39" s="26">
        <f t="shared" si="0"/>
        <v>46713</v>
      </c>
      <c r="P39" s="55">
        <v>179</v>
      </c>
      <c r="Q39" s="56">
        <f t="shared" ca="1" si="49"/>
        <v>562.72265337689907</v>
      </c>
      <c r="R39" s="28">
        <f t="shared" ca="1" si="21"/>
        <v>8.5907881020714605</v>
      </c>
      <c r="S39" s="28">
        <f t="shared" si="1"/>
        <v>0.71510108193851252</v>
      </c>
      <c r="T39" s="29">
        <f t="shared" ca="1" si="50"/>
        <v>6.1432818664958022</v>
      </c>
      <c r="U39" s="33"/>
      <c r="V39" s="27">
        <v>15.5</v>
      </c>
      <c r="W39" s="30">
        <f t="shared" si="22"/>
        <v>46956</v>
      </c>
      <c r="X39" s="26">
        <f t="shared" si="2"/>
        <v>46713</v>
      </c>
      <c r="Y39" s="55">
        <v>179</v>
      </c>
      <c r="Z39" s="56">
        <f t="shared" ca="1" si="51"/>
        <v>458.84021023503999</v>
      </c>
      <c r="AA39" s="28">
        <f t="shared" ca="1" si="23"/>
        <v>7.0048699749057732</v>
      </c>
      <c r="AB39" s="28">
        <f t="shared" si="3"/>
        <v>0.71510108193851252</v>
      </c>
      <c r="AC39" s="29">
        <f t="shared" ca="1" si="24"/>
        <v>5.0091900978937192</v>
      </c>
      <c r="AD39" s="16"/>
      <c r="AE39" s="27">
        <v>15.5</v>
      </c>
      <c r="AF39" s="30">
        <f t="shared" si="25"/>
        <v>46956</v>
      </c>
      <c r="AG39" s="26">
        <f t="shared" si="4"/>
        <v>46713</v>
      </c>
      <c r="AH39" s="55">
        <v>179</v>
      </c>
      <c r="AI39" s="56">
        <f t="shared" ca="1" si="52"/>
        <v>643.94196225479766</v>
      </c>
      <c r="AJ39" s="28">
        <f t="shared" ca="1" si="26"/>
        <v>9.8307201861622513</v>
      </c>
      <c r="AK39" s="28">
        <f t="shared" si="5"/>
        <v>0.71510108193851252</v>
      </c>
      <c r="AL39" s="29">
        <f t="shared" ca="1" si="27"/>
        <v>7.0299586413594009</v>
      </c>
      <c r="AM39" s="33"/>
      <c r="AN39" s="27">
        <v>15.5</v>
      </c>
      <c r="AO39" s="30">
        <f t="shared" si="28"/>
        <v>46956</v>
      </c>
      <c r="AP39" s="26">
        <f t="shared" si="6"/>
        <v>46713</v>
      </c>
      <c r="AQ39" s="55">
        <v>179</v>
      </c>
      <c r="AR39" s="56">
        <f t="shared" ca="1" si="53"/>
        <v>334.74002245049383</v>
      </c>
      <c r="AS39" s="28">
        <f t="shared" ca="1" si="29"/>
        <v>5.1102982702009152</v>
      </c>
      <c r="AT39" s="28">
        <f t="shared" si="7"/>
        <v>0.71510108193851252</v>
      </c>
      <c r="AU39" s="29">
        <f t="shared" ca="1" si="30"/>
        <v>3.6543798220491834</v>
      </c>
      <c r="AV39" s="33"/>
      <c r="AW39" s="27">
        <v>15.5</v>
      </c>
      <c r="AX39" s="30">
        <f t="shared" si="31"/>
        <v>46956</v>
      </c>
      <c r="AY39" s="26">
        <f t="shared" si="8"/>
        <v>46713</v>
      </c>
      <c r="AZ39" s="55">
        <v>179</v>
      </c>
      <c r="BA39" s="56">
        <f t="shared" ca="1" si="54"/>
        <v>317.49701122353912</v>
      </c>
      <c r="BB39" s="28">
        <f t="shared" ca="1" si="32"/>
        <v>4.8470583689751994</v>
      </c>
      <c r="BC39" s="28">
        <f t="shared" si="9"/>
        <v>0.71510108193851252</v>
      </c>
      <c r="BD39" s="29">
        <f t="shared" ca="1" si="33"/>
        <v>3.466136683873287</v>
      </c>
      <c r="BE39" s="33"/>
      <c r="BF39" s="27">
        <v>15.5</v>
      </c>
      <c r="BG39" s="30">
        <f t="shared" si="34"/>
        <v>46956</v>
      </c>
      <c r="BH39" s="26">
        <f t="shared" si="10"/>
        <v>46713</v>
      </c>
      <c r="BI39" s="55">
        <v>179</v>
      </c>
      <c r="BJ39" s="56">
        <f t="shared" ca="1" si="55"/>
        <v>641.33298062716995</v>
      </c>
      <c r="BK39" s="28">
        <f t="shared" ca="1" si="35"/>
        <v>9.7908902482867362</v>
      </c>
      <c r="BL39" s="28">
        <f t="shared" si="11"/>
        <v>0.71510108193851252</v>
      </c>
      <c r="BM39" s="29">
        <f t="shared" ca="1" si="36"/>
        <v>7.0014762096910763</v>
      </c>
      <c r="BN39" s="33"/>
      <c r="BO39" s="27">
        <v>15.5</v>
      </c>
      <c r="BP39" s="30">
        <f t="shared" si="37"/>
        <v>46956</v>
      </c>
      <c r="BQ39" s="26">
        <f t="shared" si="12"/>
        <v>46713</v>
      </c>
      <c r="BR39" s="55">
        <v>179</v>
      </c>
      <c r="BS39" s="56">
        <f t="shared" ca="1" si="56"/>
        <v>468.29260872370469</v>
      </c>
      <c r="BT39" s="28">
        <f t="shared" ca="1" si="38"/>
        <v>7.1491747260743228</v>
      </c>
      <c r="BU39" s="28">
        <f t="shared" si="13"/>
        <v>0.71510108193851252</v>
      </c>
      <c r="BV39" s="29">
        <f t="shared" ca="1" si="39"/>
        <v>5.1123825815832173</v>
      </c>
      <c r="BW39" s="33"/>
      <c r="BX39" s="27">
        <v>15.5</v>
      </c>
      <c r="BY39" s="30">
        <f t="shared" si="40"/>
        <v>46956</v>
      </c>
      <c r="BZ39" s="26">
        <f t="shared" si="14"/>
        <v>46713</v>
      </c>
      <c r="CA39" s="55">
        <v>179</v>
      </c>
      <c r="CB39" s="56">
        <f t="shared" ca="1" si="57"/>
        <v>426.8144382347752</v>
      </c>
      <c r="CC39" s="28">
        <f t="shared" ca="1" si="41"/>
        <v>6.5159495104309686</v>
      </c>
      <c r="CD39" s="28">
        <f t="shared" si="15"/>
        <v>0.71510108193851252</v>
      </c>
      <c r="CE39" s="29">
        <f t="shared" ca="1" si="42"/>
        <v>4.6595625447659064</v>
      </c>
      <c r="CF39" s="33"/>
      <c r="CG39" s="27">
        <v>15.5</v>
      </c>
      <c r="CH39" s="30">
        <f t="shared" si="43"/>
        <v>46956</v>
      </c>
      <c r="CI39" s="26">
        <f t="shared" si="16"/>
        <v>46713</v>
      </c>
      <c r="CJ39" s="55">
        <v>179</v>
      </c>
      <c r="CK39" s="56">
        <f t="shared" ca="1" si="58"/>
        <v>507.00220884555523</v>
      </c>
      <c r="CL39" s="28">
        <f t="shared" ca="1" si="44"/>
        <v>7.7401336472535718</v>
      </c>
      <c r="CM39" s="28">
        <f t="shared" si="17"/>
        <v>0.71510108193851252</v>
      </c>
      <c r="CN39" s="29">
        <f t="shared" ca="1" si="45"/>
        <v>5.5349779454997146</v>
      </c>
      <c r="CO39" s="33"/>
      <c r="CP39" s="27">
        <v>15.5</v>
      </c>
      <c r="CQ39" s="30">
        <f t="shared" si="46"/>
        <v>46956</v>
      </c>
      <c r="CR39" s="26">
        <f t="shared" si="18"/>
        <v>46713</v>
      </c>
      <c r="CS39" s="55">
        <v>179</v>
      </c>
      <c r="CT39" s="56">
        <f t="shared" ca="1" si="59"/>
        <v>522.30390518763818</v>
      </c>
      <c r="CU39" s="28">
        <f t="shared" ca="1" si="47"/>
        <v>7.9737365244226774</v>
      </c>
      <c r="CV39" s="28">
        <f t="shared" si="19"/>
        <v>0.71510108193851252</v>
      </c>
      <c r="CW39" s="29">
        <f t="shared" ca="1" si="48"/>
        <v>5.7020276157072907</v>
      </c>
      <c r="CX39" s="33"/>
      <c r="CY39" s="33"/>
    </row>
    <row r="40" spans="1:103" ht="16.5" x14ac:dyDescent="0.4">
      <c r="A40" s="16"/>
      <c r="B40" s="42"/>
      <c r="C40" s="64" t="s">
        <v>68</v>
      </c>
      <c r="D40" s="65">
        <f ca="1">Q2a!G27</f>
        <v>1.034955690304201</v>
      </c>
      <c r="E40" s="114" t="s">
        <v>151</v>
      </c>
      <c r="F40" s="115"/>
      <c r="G40" s="33"/>
      <c r="H40" s="33"/>
      <c r="I40" s="33"/>
      <c r="J40" s="33"/>
      <c r="K40" s="33"/>
      <c r="L40" s="43"/>
      <c r="M40" s="27">
        <v>16</v>
      </c>
      <c r="N40" s="30">
        <f t="shared" si="20"/>
        <v>47140</v>
      </c>
      <c r="O40" s="26">
        <f t="shared" si="0"/>
        <v>46895</v>
      </c>
      <c r="P40" s="55">
        <v>185</v>
      </c>
      <c r="Q40" s="56">
        <f t="shared" ca="1" si="49"/>
        <v>578.48579278834188</v>
      </c>
      <c r="R40" s="28">
        <f t="shared" ca="1" si="21"/>
        <v>8.8314355856843463</v>
      </c>
      <c r="S40" s="28">
        <f t="shared" si="1"/>
        <v>0.70740741939750318</v>
      </c>
      <c r="T40" s="29">
        <f t="shared" ca="1" si="50"/>
        <v>6.2474230572442409</v>
      </c>
      <c r="U40" s="33"/>
      <c r="V40" s="27">
        <v>16</v>
      </c>
      <c r="W40" s="30">
        <f t="shared" si="22"/>
        <v>47140</v>
      </c>
      <c r="X40" s="26">
        <f t="shared" si="2"/>
        <v>46895</v>
      </c>
      <c r="Y40" s="55">
        <v>185</v>
      </c>
      <c r="Z40" s="56">
        <f t="shared" ca="1" si="51"/>
        <v>468.47760260665103</v>
      </c>
      <c r="AA40" s="28">
        <f t="shared" ca="1" si="23"/>
        <v>7.1519989295056829</v>
      </c>
      <c r="AB40" s="28">
        <f t="shared" si="3"/>
        <v>0.70740741939750318</v>
      </c>
      <c r="AC40" s="29">
        <f t="shared" ca="1" si="24"/>
        <v>5.0593771062553206</v>
      </c>
      <c r="AD40" s="16"/>
      <c r="AE40" s="27">
        <v>16</v>
      </c>
      <c r="AF40" s="30">
        <f t="shared" si="25"/>
        <v>47140</v>
      </c>
      <c r="AG40" s="26">
        <f t="shared" si="4"/>
        <v>46895</v>
      </c>
      <c r="AH40" s="55">
        <v>185</v>
      </c>
      <c r="AI40" s="56">
        <f t="shared" ca="1" si="52"/>
        <v>664.97860597446015</v>
      </c>
      <c r="AJ40" s="28">
        <f t="shared" ca="1" si="26"/>
        <v>10.151875461305137</v>
      </c>
      <c r="AK40" s="28">
        <f t="shared" si="5"/>
        <v>0.70740741939750318</v>
      </c>
      <c r="AL40" s="29">
        <f t="shared" ca="1" si="27"/>
        <v>7.1815120221267037</v>
      </c>
      <c r="AM40" s="33"/>
      <c r="AN40" s="27">
        <v>16</v>
      </c>
      <c r="AO40" s="30">
        <f t="shared" si="28"/>
        <v>47140</v>
      </c>
      <c r="AP40" s="26">
        <f t="shared" si="6"/>
        <v>46895</v>
      </c>
      <c r="AQ40" s="55">
        <v>185</v>
      </c>
      <c r="AR40" s="56">
        <f t="shared" ca="1" si="53"/>
        <v>338.17723759938474</v>
      </c>
      <c r="AS40" s="28">
        <f t="shared" ca="1" si="29"/>
        <v>5.1627724096871281</v>
      </c>
      <c r="AT40" s="28">
        <f t="shared" si="7"/>
        <v>0.70740741939750318</v>
      </c>
      <c r="AU40" s="29">
        <f t="shared" ca="1" si="30"/>
        <v>3.6521835072734006</v>
      </c>
      <c r="AV40" s="33"/>
      <c r="AW40" s="27">
        <v>16</v>
      </c>
      <c r="AX40" s="30">
        <f t="shared" si="31"/>
        <v>47140</v>
      </c>
      <c r="AY40" s="26">
        <f t="shared" si="8"/>
        <v>46895</v>
      </c>
      <c r="AZ40" s="55">
        <v>185</v>
      </c>
      <c r="BA40" s="56">
        <f t="shared" ca="1" si="54"/>
        <v>320.18906479981337</v>
      </c>
      <c r="BB40" s="28">
        <f t="shared" ca="1" si="32"/>
        <v>4.8881565222029248</v>
      </c>
      <c r="BC40" s="28">
        <f t="shared" si="9"/>
        <v>0.70740741939750318</v>
      </c>
      <c r="BD40" s="29">
        <f t="shared" ca="1" si="33"/>
        <v>3.4579181909826451</v>
      </c>
      <c r="BE40" s="33"/>
      <c r="BF40" s="27">
        <v>16</v>
      </c>
      <c r="BG40" s="30">
        <f t="shared" si="34"/>
        <v>47140</v>
      </c>
      <c r="BH40" s="26">
        <f t="shared" si="10"/>
        <v>46895</v>
      </c>
      <c r="BI40" s="55">
        <v>185</v>
      </c>
      <c r="BJ40" s="56">
        <f t="shared" ca="1" si="55"/>
        <v>662.1942732285795</v>
      </c>
      <c r="BK40" s="28">
        <f t="shared" ca="1" si="35"/>
        <v>10.109368530969247</v>
      </c>
      <c r="BL40" s="28">
        <f t="shared" si="11"/>
        <v>0.70740741939750318</v>
      </c>
      <c r="BM40" s="29">
        <f t="shared" ca="1" si="36"/>
        <v>7.1514423042312831</v>
      </c>
      <c r="BN40" s="33"/>
      <c r="BO40" s="27">
        <v>16</v>
      </c>
      <c r="BP40" s="30">
        <f t="shared" si="37"/>
        <v>47140</v>
      </c>
      <c r="BQ40" s="26">
        <f t="shared" si="12"/>
        <v>46895</v>
      </c>
      <c r="BR40" s="55">
        <v>185</v>
      </c>
      <c r="BS40" s="56">
        <f t="shared" ca="1" si="56"/>
        <v>478.45545366085344</v>
      </c>
      <c r="BT40" s="28">
        <f t="shared" ca="1" si="38"/>
        <v>7.304325486125169</v>
      </c>
      <c r="BU40" s="28">
        <f t="shared" si="13"/>
        <v>0.70740741939750318</v>
      </c>
      <c r="BV40" s="29">
        <f t="shared" ca="1" si="39"/>
        <v>5.1671340425792183</v>
      </c>
      <c r="BW40" s="33"/>
      <c r="BX40" s="27">
        <v>16</v>
      </c>
      <c r="BY40" s="30">
        <f t="shared" si="40"/>
        <v>47140</v>
      </c>
      <c r="BZ40" s="26">
        <f t="shared" si="14"/>
        <v>46895</v>
      </c>
      <c r="CA40" s="55">
        <v>185</v>
      </c>
      <c r="CB40" s="56">
        <f t="shared" ca="1" si="57"/>
        <v>434.72358349749027</v>
      </c>
      <c r="CC40" s="28">
        <f t="shared" ca="1" si="41"/>
        <v>6.6366942336311903</v>
      </c>
      <c r="CD40" s="28">
        <f t="shared" si="15"/>
        <v>0.70740741939750318</v>
      </c>
      <c r="CE40" s="29">
        <f t="shared" ca="1" si="42"/>
        <v>4.6948467411433308</v>
      </c>
      <c r="CF40" s="33"/>
      <c r="CG40" s="27">
        <v>16</v>
      </c>
      <c r="CH40" s="30">
        <f t="shared" si="43"/>
        <v>47140</v>
      </c>
      <c r="CI40" s="26">
        <f t="shared" si="16"/>
        <v>46895</v>
      </c>
      <c r="CJ40" s="55">
        <v>185</v>
      </c>
      <c r="CK40" s="56">
        <f t="shared" ca="1" si="58"/>
        <v>519.3859918766176</v>
      </c>
      <c r="CL40" s="28">
        <f t="shared" ca="1" si="44"/>
        <v>7.9291902904924045</v>
      </c>
      <c r="CM40" s="28">
        <f t="shared" si="17"/>
        <v>0.70740741939750318</v>
      </c>
      <c r="CN40" s="29">
        <f t="shared" ca="1" si="45"/>
        <v>5.6091680413089708</v>
      </c>
      <c r="CO40" s="33"/>
      <c r="CP40" s="27">
        <v>16</v>
      </c>
      <c r="CQ40" s="30">
        <f t="shared" si="46"/>
        <v>47140</v>
      </c>
      <c r="CR40" s="26">
        <f t="shared" si="18"/>
        <v>46895</v>
      </c>
      <c r="CS40" s="55">
        <v>185</v>
      </c>
      <c r="CT40" s="56">
        <f t="shared" ca="1" si="59"/>
        <v>535.59499007995521</v>
      </c>
      <c r="CU40" s="28">
        <f t="shared" ca="1" si="47"/>
        <v>8.1766444636558688</v>
      </c>
      <c r="CV40" s="28">
        <f t="shared" si="19"/>
        <v>0.70740741939750318</v>
      </c>
      <c r="CW40" s="29">
        <f t="shared" ca="1" si="48"/>
        <v>5.7842189593656794</v>
      </c>
      <c r="CX40" s="33"/>
      <c r="CY40" s="33"/>
    </row>
    <row r="41" spans="1:103" ht="16.5" x14ac:dyDescent="0.4">
      <c r="A41" s="16"/>
      <c r="B41" s="42"/>
      <c r="C41" s="64" t="s">
        <v>69</v>
      </c>
      <c r="D41" s="65">
        <f ca="1">Q2a!G28</f>
        <v>1.0634705479097211</v>
      </c>
      <c r="E41" s="114" t="s">
        <v>152</v>
      </c>
      <c r="F41" s="115"/>
      <c r="G41" s="33"/>
      <c r="H41" s="33"/>
      <c r="I41" s="33"/>
      <c r="J41" s="33"/>
      <c r="K41" s="33"/>
      <c r="L41" s="43"/>
      <c r="M41" s="27">
        <v>16.5</v>
      </c>
      <c r="N41" s="30">
        <f t="shared" si="20"/>
        <v>47321</v>
      </c>
      <c r="O41" s="26">
        <f t="shared" si="0"/>
        <v>47079</v>
      </c>
      <c r="P41" s="55">
        <v>191</v>
      </c>
      <c r="Q41" s="56">
        <f t="shared" ca="1" si="49"/>
        <v>594.69049353131004</v>
      </c>
      <c r="R41" s="28">
        <f t="shared" ca="1" si="21"/>
        <v>9.0788241518010881</v>
      </c>
      <c r="S41" s="28">
        <f t="shared" si="1"/>
        <v>0.69979653178830237</v>
      </c>
      <c r="T41" s="29">
        <f t="shared" ca="1" si="50"/>
        <v>6.3533296541462772</v>
      </c>
      <c r="U41" s="33"/>
      <c r="V41" s="27">
        <v>16.5</v>
      </c>
      <c r="W41" s="30">
        <f t="shared" si="22"/>
        <v>47321</v>
      </c>
      <c r="X41" s="26">
        <f t="shared" si="2"/>
        <v>47079</v>
      </c>
      <c r="Y41" s="55">
        <v>191</v>
      </c>
      <c r="Z41" s="56">
        <f t="shared" ca="1" si="51"/>
        <v>478.31741693181499</v>
      </c>
      <c r="AA41" s="28">
        <f t="shared" ca="1" si="23"/>
        <v>7.3022181526415135</v>
      </c>
      <c r="AB41" s="28">
        <f t="shared" si="3"/>
        <v>0.69979653178830237</v>
      </c>
      <c r="AC41" s="29">
        <f t="shared" ca="1" si="24"/>
        <v>5.1100669375801155</v>
      </c>
      <c r="AD41" s="16"/>
      <c r="AE41" s="27">
        <v>16.5</v>
      </c>
      <c r="AF41" s="30">
        <f t="shared" si="25"/>
        <v>47321</v>
      </c>
      <c r="AG41" s="26">
        <f t="shared" si="4"/>
        <v>47079</v>
      </c>
      <c r="AH41" s="55">
        <v>191</v>
      </c>
      <c r="AI41" s="56">
        <f t="shared" ca="1" si="52"/>
        <v>686.70248612990076</v>
      </c>
      <c r="AJ41" s="28">
        <f t="shared" ca="1" si="26"/>
        <v>10.48352241038431</v>
      </c>
      <c r="AK41" s="28">
        <f t="shared" si="5"/>
        <v>0.69979653178830237</v>
      </c>
      <c r="AL41" s="29">
        <f t="shared" ca="1" si="27"/>
        <v>7.3363326237118844</v>
      </c>
      <c r="AM41" s="33"/>
      <c r="AN41" s="27">
        <v>16.5</v>
      </c>
      <c r="AO41" s="30">
        <f t="shared" si="28"/>
        <v>47321</v>
      </c>
      <c r="AP41" s="26">
        <f t="shared" si="6"/>
        <v>47079</v>
      </c>
      <c r="AQ41" s="55">
        <v>191</v>
      </c>
      <c r="AR41" s="56">
        <f t="shared" ca="1" si="53"/>
        <v>341.64974714747331</v>
      </c>
      <c r="AS41" s="28">
        <f t="shared" ca="1" si="29"/>
        <v>5.2157853700345207</v>
      </c>
      <c r="AT41" s="28">
        <f t="shared" si="7"/>
        <v>0.69979653178830237</v>
      </c>
      <c r="AU41" s="29">
        <f t="shared" ca="1" si="30"/>
        <v>3.649988512502325</v>
      </c>
      <c r="AV41" s="33"/>
      <c r="AW41" s="27">
        <v>16.5</v>
      </c>
      <c r="AX41" s="30">
        <f t="shared" si="31"/>
        <v>47321</v>
      </c>
      <c r="AY41" s="26">
        <f t="shared" si="8"/>
        <v>47079</v>
      </c>
      <c r="AZ41" s="55">
        <v>191</v>
      </c>
      <c r="BA41" s="56">
        <f t="shared" ca="1" si="54"/>
        <v>322.90394426799003</v>
      </c>
      <c r="BB41" s="28">
        <f t="shared" ca="1" si="32"/>
        <v>4.9296031462082119</v>
      </c>
      <c r="BC41" s="28">
        <f t="shared" si="9"/>
        <v>0.69979653178830237</v>
      </c>
      <c r="BD41" s="29">
        <f t="shared" ca="1" si="33"/>
        <v>3.4497191848092101</v>
      </c>
      <c r="BE41" s="33"/>
      <c r="BF41" s="27">
        <v>16.5</v>
      </c>
      <c r="BG41" s="30">
        <f t="shared" si="34"/>
        <v>47321</v>
      </c>
      <c r="BH41" s="26">
        <f t="shared" si="10"/>
        <v>47079</v>
      </c>
      <c r="BI41" s="55">
        <v>191</v>
      </c>
      <c r="BJ41" s="56">
        <f t="shared" ca="1" si="55"/>
        <v>683.73414239184933</v>
      </c>
      <c r="BK41" s="28">
        <f t="shared" ca="1" si="35"/>
        <v>10.438206281888892</v>
      </c>
      <c r="BL41" s="28">
        <f t="shared" si="11"/>
        <v>0.69979653178830237</v>
      </c>
      <c r="BM41" s="29">
        <f t="shared" ca="1" si="36"/>
        <v>7.3046205541567177</v>
      </c>
      <c r="BN41" s="33"/>
      <c r="BO41" s="27">
        <v>16.5</v>
      </c>
      <c r="BP41" s="30">
        <f t="shared" si="37"/>
        <v>47321</v>
      </c>
      <c r="BQ41" s="26">
        <f t="shared" si="12"/>
        <v>47079</v>
      </c>
      <c r="BR41" s="55">
        <v>191</v>
      </c>
      <c r="BS41" s="56">
        <f t="shared" ca="1" si="56"/>
        <v>488.83885176346433</v>
      </c>
      <c r="BT41" s="28">
        <f t="shared" ca="1" si="38"/>
        <v>7.4628433143015931</v>
      </c>
      <c r="BU41" s="28">
        <f t="shared" si="13"/>
        <v>0.69979653178830237</v>
      </c>
      <c r="BV41" s="29">
        <f t="shared" ca="1" si="39"/>
        <v>5.2224718686277747</v>
      </c>
      <c r="BW41" s="33"/>
      <c r="BX41" s="27">
        <v>16.5</v>
      </c>
      <c r="BY41" s="30">
        <f t="shared" si="40"/>
        <v>47321</v>
      </c>
      <c r="BZ41" s="26">
        <f t="shared" si="14"/>
        <v>47079</v>
      </c>
      <c r="CA41" s="55">
        <v>191</v>
      </c>
      <c r="CB41" s="56">
        <f t="shared" ca="1" si="57"/>
        <v>442.77929029417174</v>
      </c>
      <c r="CC41" s="28">
        <f t="shared" ca="1" si="41"/>
        <v>6.7596764339876332</v>
      </c>
      <c r="CD41" s="28">
        <f t="shared" si="15"/>
        <v>0.69979653178830237</v>
      </c>
      <c r="CE41" s="29">
        <f t="shared" ca="1" si="42"/>
        <v>4.7303981245156654</v>
      </c>
      <c r="CF41" s="33"/>
      <c r="CG41" s="27">
        <v>16.5</v>
      </c>
      <c r="CH41" s="30">
        <f t="shared" si="43"/>
        <v>47321</v>
      </c>
      <c r="CI41" s="26">
        <f t="shared" si="16"/>
        <v>47079</v>
      </c>
      <c r="CJ41" s="55">
        <v>191</v>
      </c>
      <c r="CK41" s="56">
        <f t="shared" ca="1" si="58"/>
        <v>532.07225501424534</v>
      </c>
      <c r="CL41" s="28">
        <f t="shared" ca="1" si="44"/>
        <v>8.1228647369865357</v>
      </c>
      <c r="CM41" s="28">
        <f t="shared" si="17"/>
        <v>0.69979653178830237</v>
      </c>
      <c r="CN41" s="29">
        <f t="shared" ca="1" si="45"/>
        <v>5.6843525711286782</v>
      </c>
      <c r="CO41" s="33"/>
      <c r="CP41" s="27">
        <v>16.5</v>
      </c>
      <c r="CQ41" s="30">
        <f t="shared" si="46"/>
        <v>47321</v>
      </c>
      <c r="CR41" s="26">
        <f t="shared" si="18"/>
        <v>47079</v>
      </c>
      <c r="CS41" s="55">
        <v>191</v>
      </c>
      <c r="CT41" s="56">
        <f t="shared" ca="1" si="59"/>
        <v>549.2242936527382</v>
      </c>
      <c r="CU41" s="28">
        <f t="shared" ca="1" si="47"/>
        <v>8.3847158079849944</v>
      </c>
      <c r="CV41" s="28">
        <f t="shared" si="19"/>
        <v>0.69979653178830237</v>
      </c>
      <c r="CW41" s="29">
        <f t="shared" ca="1" si="48"/>
        <v>5.8675950424584524</v>
      </c>
      <c r="CX41" s="33"/>
      <c r="CY41" s="33"/>
    </row>
    <row r="42" spans="1:103" ht="16.5" x14ac:dyDescent="0.4">
      <c r="A42" s="16"/>
      <c r="B42" s="42"/>
      <c r="C42" s="64" t="s">
        <v>70</v>
      </c>
      <c r="D42" s="65">
        <f ca="1">Q2a!G29</f>
        <v>1.0427315632309984</v>
      </c>
      <c r="E42" s="114" t="s">
        <v>153</v>
      </c>
      <c r="F42" s="115"/>
      <c r="G42" s="33"/>
      <c r="H42" s="33"/>
      <c r="I42" s="33"/>
      <c r="J42" s="33"/>
      <c r="K42" s="33"/>
      <c r="L42" s="43"/>
      <c r="M42" s="27">
        <v>17</v>
      </c>
      <c r="N42" s="30">
        <f t="shared" si="20"/>
        <v>47505</v>
      </c>
      <c r="O42" s="26">
        <f t="shared" si="0"/>
        <v>47260</v>
      </c>
      <c r="P42" s="55">
        <v>197</v>
      </c>
      <c r="Q42" s="56">
        <f t="shared" ca="1" si="49"/>
        <v>611.34912474144403</v>
      </c>
      <c r="R42" s="28">
        <f t="shared" ca="1" si="21"/>
        <v>9.3331426334509864</v>
      </c>
      <c r="S42" s="28">
        <f t="shared" si="1"/>
        <v>0.6922675285481551</v>
      </c>
      <c r="T42" s="29">
        <f t="shared" ca="1" si="50"/>
        <v>6.461031584446534</v>
      </c>
      <c r="U42" s="33"/>
      <c r="V42" s="27">
        <v>17</v>
      </c>
      <c r="W42" s="30">
        <f t="shared" si="22"/>
        <v>47505</v>
      </c>
      <c r="X42" s="26">
        <f t="shared" si="2"/>
        <v>47260</v>
      </c>
      <c r="Y42" s="55">
        <v>197</v>
      </c>
      <c r="Z42" s="56">
        <f t="shared" ca="1" si="51"/>
        <v>488.36390484268503</v>
      </c>
      <c r="AA42" s="28">
        <f t="shared" ca="1" si="23"/>
        <v>7.4555925517249291</v>
      </c>
      <c r="AB42" s="28">
        <f t="shared" si="3"/>
        <v>0.6922675285481551</v>
      </c>
      <c r="AC42" s="29">
        <f t="shared" ca="1" si="24"/>
        <v>5.1612646296446503</v>
      </c>
      <c r="AD42" s="16"/>
      <c r="AE42" s="27">
        <v>17</v>
      </c>
      <c r="AF42" s="30">
        <f t="shared" si="25"/>
        <v>47505</v>
      </c>
      <c r="AG42" s="26">
        <f t="shared" si="4"/>
        <v>47260</v>
      </c>
      <c r="AH42" s="55">
        <v>197</v>
      </c>
      <c r="AI42" s="56">
        <f t="shared" ca="1" si="52"/>
        <v>709.13605373207747</v>
      </c>
      <c r="AJ42" s="28">
        <f t="shared" ca="1" si="26"/>
        <v>10.826003781068911</v>
      </c>
      <c r="AK42" s="28">
        <f t="shared" si="5"/>
        <v>0.6922675285481551</v>
      </c>
      <c r="AL42" s="29">
        <f t="shared" ca="1" si="27"/>
        <v>7.4944908815735571</v>
      </c>
      <c r="AM42" s="33"/>
      <c r="AN42" s="27">
        <v>17</v>
      </c>
      <c r="AO42" s="30">
        <f t="shared" si="28"/>
        <v>47505</v>
      </c>
      <c r="AP42" s="26">
        <f t="shared" si="6"/>
        <v>47260</v>
      </c>
      <c r="AQ42" s="55">
        <v>197</v>
      </c>
      <c r="AR42" s="56">
        <f t="shared" ca="1" si="53"/>
        <v>345.15791350867903</v>
      </c>
      <c r="AS42" s="28">
        <f t="shared" ca="1" si="29"/>
        <v>5.2693426840240605</v>
      </c>
      <c r="AT42" s="28">
        <f t="shared" si="7"/>
        <v>0.6922675285481551</v>
      </c>
      <c r="AU42" s="29">
        <f t="shared" ca="1" si="30"/>
        <v>3.6477948369426385</v>
      </c>
      <c r="AV42" s="33"/>
      <c r="AW42" s="27">
        <v>17</v>
      </c>
      <c r="AX42" s="30">
        <f t="shared" si="31"/>
        <v>47505</v>
      </c>
      <c r="AY42" s="26">
        <f t="shared" si="8"/>
        <v>47260</v>
      </c>
      <c r="AZ42" s="55">
        <v>197</v>
      </c>
      <c r="BA42" s="56">
        <f t="shared" ca="1" si="54"/>
        <v>325.64184316854903</v>
      </c>
      <c r="BB42" s="28">
        <f t="shared" ca="1" si="32"/>
        <v>4.9714011956708539</v>
      </c>
      <c r="BC42" s="28">
        <f t="shared" si="9"/>
        <v>0.6922675285481551</v>
      </c>
      <c r="BD42" s="29">
        <f t="shared" ca="1" si="33"/>
        <v>3.4415396191484051</v>
      </c>
      <c r="BE42" s="33"/>
      <c r="BF42" s="27">
        <v>17</v>
      </c>
      <c r="BG42" s="30">
        <f t="shared" si="34"/>
        <v>47505</v>
      </c>
      <c r="BH42" s="26">
        <f t="shared" si="10"/>
        <v>47260</v>
      </c>
      <c r="BI42" s="55">
        <v>197</v>
      </c>
      <c r="BJ42" s="56">
        <f t="shared" ca="1" si="55"/>
        <v>705.97466086957002</v>
      </c>
      <c r="BK42" s="28">
        <f t="shared" ca="1" si="35"/>
        <v>10.777740474045066</v>
      </c>
      <c r="BL42" s="28">
        <f t="shared" si="11"/>
        <v>0.6922675285481551</v>
      </c>
      <c r="BM42" s="29">
        <f t="shared" ca="1" si="36"/>
        <v>7.4610797613005992</v>
      </c>
      <c r="BN42" s="33"/>
      <c r="BO42" s="27">
        <v>17</v>
      </c>
      <c r="BP42" s="30">
        <f t="shared" si="37"/>
        <v>47505</v>
      </c>
      <c r="BQ42" s="26">
        <f t="shared" si="12"/>
        <v>47260</v>
      </c>
      <c r="BR42" s="55">
        <v>197</v>
      </c>
      <c r="BS42" s="56">
        <f t="shared" ca="1" si="56"/>
        <v>499.44758945690307</v>
      </c>
      <c r="BT42" s="28">
        <f t="shared" ca="1" si="38"/>
        <v>7.6248012824194129</v>
      </c>
      <c r="BU42" s="28">
        <f t="shared" si="13"/>
        <v>0.6922675285481551</v>
      </c>
      <c r="BV42" s="29">
        <f t="shared" ca="1" si="39"/>
        <v>5.2784023394512909</v>
      </c>
      <c r="BW42" s="33"/>
      <c r="BX42" s="27">
        <v>17</v>
      </c>
      <c r="BY42" s="30">
        <f t="shared" si="40"/>
        <v>47505</v>
      </c>
      <c r="BZ42" s="26">
        <f t="shared" si="14"/>
        <v>47260</v>
      </c>
      <c r="CA42" s="55">
        <v>197</v>
      </c>
      <c r="CB42" s="56">
        <f t="shared" ca="1" si="57"/>
        <v>450.98427450403614</v>
      </c>
      <c r="CC42" s="28">
        <f t="shared" ca="1" si="41"/>
        <v>6.8849375733869325</v>
      </c>
      <c r="CD42" s="28">
        <f t="shared" si="15"/>
        <v>0.6922675285481551</v>
      </c>
      <c r="CE42" s="29">
        <f t="shared" ca="1" si="42"/>
        <v>4.766218718136904</v>
      </c>
      <c r="CF42" s="33"/>
      <c r="CG42" s="27">
        <v>17</v>
      </c>
      <c r="CH42" s="30">
        <f t="shared" si="43"/>
        <v>47505</v>
      </c>
      <c r="CI42" s="26">
        <f t="shared" si="16"/>
        <v>47260</v>
      </c>
      <c r="CJ42" s="55">
        <v>197</v>
      </c>
      <c r="CK42" s="56">
        <f t="shared" ca="1" si="58"/>
        <v>545.06838648662665</v>
      </c>
      <c r="CL42" s="28">
        <f t="shared" ca="1" si="44"/>
        <v>8.321269778894651</v>
      </c>
      <c r="CM42" s="28">
        <f t="shared" si="17"/>
        <v>0.6922675285481551</v>
      </c>
      <c r="CN42" s="29">
        <f t="shared" ca="1" si="45"/>
        <v>5.7605448642178532</v>
      </c>
      <c r="CO42" s="33"/>
      <c r="CP42" s="27">
        <v>17</v>
      </c>
      <c r="CQ42" s="30">
        <f t="shared" si="46"/>
        <v>47505</v>
      </c>
      <c r="CR42" s="26">
        <f t="shared" si="18"/>
        <v>47260</v>
      </c>
      <c r="CS42" s="55">
        <v>197</v>
      </c>
      <c r="CT42" s="56">
        <f t="shared" ca="1" si="59"/>
        <v>563.20042256802731</v>
      </c>
      <c r="CU42" s="28">
        <f t="shared" ca="1" si="47"/>
        <v>8.5980819507517126</v>
      </c>
      <c r="CV42" s="28">
        <f t="shared" si="19"/>
        <v>0.6922675285481551</v>
      </c>
      <c r="CW42" s="29">
        <f t="shared" ca="1" si="48"/>
        <v>5.952172942301388</v>
      </c>
      <c r="CX42" s="33"/>
      <c r="CY42" s="33"/>
    </row>
    <row r="43" spans="1:103" ht="16.5" x14ac:dyDescent="0.4">
      <c r="A43" s="16"/>
      <c r="B43" s="42"/>
      <c r="C43" s="64" t="s">
        <v>71</v>
      </c>
      <c r="D43" s="65">
        <f ca="1">Q2a!G30</f>
        <v>1.0636419271291113</v>
      </c>
      <c r="E43" s="114" t="s">
        <v>154</v>
      </c>
      <c r="F43" s="115"/>
      <c r="G43" s="33"/>
      <c r="H43" s="33"/>
      <c r="I43" s="33"/>
      <c r="J43" s="33"/>
      <c r="K43" s="33"/>
      <c r="L43" s="43"/>
      <c r="M43" s="27">
        <v>17.5</v>
      </c>
      <c r="N43" s="30">
        <f t="shared" si="20"/>
        <v>47686</v>
      </c>
      <c r="O43" s="30">
        <f t="shared" si="0"/>
        <v>47444</v>
      </c>
      <c r="P43" s="55">
        <v>203</v>
      </c>
      <c r="Q43" s="56">
        <f t="shared" ca="1" si="49"/>
        <v>628.47440204196232</v>
      </c>
      <c r="R43" s="28">
        <f ca="1">(coupon_rdemption + coupon)*Q43/RPI_base</f>
        <v>474.78659258629</v>
      </c>
      <c r="S43" s="28">
        <f t="shared" si="1"/>
        <v>0.68481952869572682</v>
      </c>
      <c r="T43" s="29">
        <f t="shared" ca="1" si="50"/>
        <v>325.1431305659932</v>
      </c>
      <c r="U43" s="33"/>
      <c r="V43" s="27">
        <v>17.5</v>
      </c>
      <c r="W43" s="30">
        <f t="shared" si="22"/>
        <v>47686</v>
      </c>
      <c r="X43" s="30">
        <f t="shared" si="2"/>
        <v>47444</v>
      </c>
      <c r="Y43" s="55">
        <v>203</v>
      </c>
      <c r="Z43" s="56">
        <f t="shared" ca="1" si="51"/>
        <v>498.6214072718862</v>
      </c>
      <c r="AA43" s="28">
        <f ca="1">(coupon_rdemption+coupon)*Z43/RPI_base</f>
        <v>376.68798948694956</v>
      </c>
      <c r="AB43" s="28">
        <f t="shared" si="3"/>
        <v>0.68481952869572682</v>
      </c>
      <c r="AC43" s="29">
        <f t="shared" ca="1" si="24"/>
        <v>257.96329142579367</v>
      </c>
      <c r="AD43" s="16"/>
      <c r="AE43" s="27">
        <v>17.5</v>
      </c>
      <c r="AF43" s="30">
        <f t="shared" si="25"/>
        <v>47686</v>
      </c>
      <c r="AG43" s="30">
        <f t="shared" si="4"/>
        <v>47444</v>
      </c>
      <c r="AH43" s="55">
        <v>203</v>
      </c>
      <c r="AI43" s="56">
        <f t="shared" ca="1" si="52"/>
        <v>732.30249323369571</v>
      </c>
      <c r="AJ43" s="28">
        <f ca="1">(coupon_rdemption+coupon)*AI43/RPI_base</f>
        <v>553.22445015295386</v>
      </c>
      <c r="AK43" s="28">
        <f t="shared" si="5"/>
        <v>0.68481952869572682</v>
      </c>
      <c r="AL43" s="29">
        <f t="shared" ca="1" si="27"/>
        <v>378.85890721669847</v>
      </c>
      <c r="AM43" s="33"/>
      <c r="AN43" s="27">
        <v>17.5</v>
      </c>
      <c r="AO43" s="30">
        <f t="shared" si="28"/>
        <v>47686</v>
      </c>
      <c r="AP43" s="30">
        <f t="shared" si="6"/>
        <v>47444</v>
      </c>
      <c r="AQ43" s="55">
        <v>203</v>
      </c>
      <c r="AR43" s="56">
        <f t="shared" ca="1" si="53"/>
        <v>348.70210281830094</v>
      </c>
      <c r="AS43" s="28">
        <f ca="1">(coupon+coupon_rdemption)*AR43/RPI_base</f>
        <v>263.43011375938443</v>
      </c>
      <c r="AT43" s="28">
        <f t="shared" si="7"/>
        <v>0.68481952869572682</v>
      </c>
      <c r="AU43" s="29">
        <f t="shared" ca="1" si="30"/>
        <v>180.40208634896334</v>
      </c>
      <c r="AV43" s="33"/>
      <c r="AW43" s="27">
        <v>17.5</v>
      </c>
      <c r="AX43" s="30">
        <f t="shared" si="31"/>
        <v>47686</v>
      </c>
      <c r="AY43" s="30">
        <f t="shared" si="8"/>
        <v>47444</v>
      </c>
      <c r="AZ43" s="55">
        <v>203</v>
      </c>
      <c r="BA43" s="56">
        <f t="shared" ca="1" si="54"/>
        <v>328.40295668299785</v>
      </c>
      <c r="BB43" s="28">
        <f ca="1">(coupon+coupon_rdemption)*BA43/RPI_base</f>
        <v>248.09494275690946</v>
      </c>
      <c r="BC43" s="28">
        <f t="shared" si="9"/>
        <v>0.68481952869572682</v>
      </c>
      <c r="BD43" s="29">
        <f t="shared" ca="1" si="33"/>
        <v>169.90026177058007</v>
      </c>
      <c r="BE43" s="33"/>
      <c r="BF43" s="27">
        <v>17.5</v>
      </c>
      <c r="BG43" s="30">
        <f t="shared" si="34"/>
        <v>47686</v>
      </c>
      <c r="BH43" s="30">
        <f t="shared" si="10"/>
        <v>47444</v>
      </c>
      <c r="BI43" s="55">
        <v>203</v>
      </c>
      <c r="BJ43" s="56">
        <f t="shared" ca="1" si="55"/>
        <v>728.93861939728936</v>
      </c>
      <c r="BK43" s="28">
        <f ca="1">(coupon_rdemption+coupon)*BJ43/RPI_base</f>
        <v>550.68318165977678</v>
      </c>
      <c r="BL43" s="28">
        <f t="shared" si="11"/>
        <v>0.68481952869572682</v>
      </c>
      <c r="BM43" s="29">
        <f t="shared" ca="1" si="36"/>
        <v>377.11859692491163</v>
      </c>
      <c r="BN43" s="33"/>
      <c r="BO43" s="27">
        <v>17.5</v>
      </c>
      <c r="BP43" s="30">
        <f t="shared" si="37"/>
        <v>47686</v>
      </c>
      <c r="BQ43" s="30">
        <f t="shared" si="12"/>
        <v>47444</v>
      </c>
      <c r="BR43" s="55">
        <v>203</v>
      </c>
      <c r="BS43" s="56">
        <f t="shared" ca="1" si="56"/>
        <v>510.28655704111708</v>
      </c>
      <c r="BT43" s="28">
        <f ca="1">(coupon_rdemption+coupon)*BS43/RPI_base</f>
        <v>385.50053092530732</v>
      </c>
      <c r="BU43" s="28">
        <f t="shared" si="13"/>
        <v>0.68481952869572682</v>
      </c>
      <c r="BV43" s="29">
        <f t="shared" ca="1" si="39"/>
        <v>263.99829190022143</v>
      </c>
      <c r="BW43" s="33"/>
      <c r="BX43" s="27">
        <v>17.5</v>
      </c>
      <c r="BY43" s="30">
        <f t="shared" si="40"/>
        <v>47686</v>
      </c>
      <c r="BZ43" s="30">
        <f t="shared" si="14"/>
        <v>47444</v>
      </c>
      <c r="CA43" s="55">
        <v>203</v>
      </c>
      <c r="CB43" s="56">
        <f t="shared" ca="1" si="57"/>
        <v>459.34130233328347</v>
      </c>
      <c r="CC43" s="28">
        <f ca="1">(coupon_rdemption+coupon)*CB43/RPI_base</f>
        <v>347.01348385929492</v>
      </c>
      <c r="CD43" s="28">
        <f t="shared" si="15"/>
        <v>0.68481952869572682</v>
      </c>
      <c r="CE43" s="29">
        <f t="shared" ca="1" si="42"/>
        <v>237.64161046758454</v>
      </c>
      <c r="CF43" s="33"/>
      <c r="CG43" s="27">
        <v>17.5</v>
      </c>
      <c r="CH43" s="30">
        <f t="shared" si="43"/>
        <v>47686</v>
      </c>
      <c r="CI43" s="30">
        <f t="shared" si="16"/>
        <v>47444</v>
      </c>
      <c r="CJ43" s="55">
        <v>203</v>
      </c>
      <c r="CK43" s="56">
        <f t="shared" ca="1" si="58"/>
        <v>558.38195498312587</v>
      </c>
      <c r="CL43" s="28">
        <f ca="1">(coupon_rdemption+coupon)*CK43/RPI_base</f>
        <v>421.83462827879561</v>
      </c>
      <c r="CM43" s="28">
        <f t="shared" si="17"/>
        <v>0.68481952869572682</v>
      </c>
      <c r="CN43" s="29">
        <f t="shared" ca="1" si="45"/>
        <v>288.8805913254219</v>
      </c>
      <c r="CO43" s="33"/>
      <c r="CP43" s="27">
        <v>17.5</v>
      </c>
      <c r="CQ43" s="30">
        <f t="shared" si="46"/>
        <v>47686</v>
      </c>
      <c r="CR43" s="30">
        <f t="shared" si="18"/>
        <v>47444</v>
      </c>
      <c r="CS43" s="55">
        <v>203</v>
      </c>
      <c r="CT43" s="56">
        <f t="shared" ca="1" si="59"/>
        <v>577.53220250187894</v>
      </c>
      <c r="CU43" s="28">
        <f ca="1">(coupon_rdemption+coupon)*CT43/RPI_base</f>
        <v>436.30185357400461</v>
      </c>
      <c r="CV43" s="28">
        <f t="shared" si="19"/>
        <v>0.68481952869572682</v>
      </c>
      <c r="CW43" s="29">
        <f t="shared" ca="1" si="48"/>
        <v>298.78802973362184</v>
      </c>
      <c r="CX43" s="33"/>
      <c r="CY43" s="33"/>
    </row>
    <row r="44" spans="1:103" ht="16.5" x14ac:dyDescent="0.4">
      <c r="A44" s="16"/>
      <c r="B44" s="42"/>
      <c r="C44" s="64" t="s">
        <v>73</v>
      </c>
      <c r="D44" s="65">
        <f ca="1">Q2a!G31</f>
        <v>1.0365812263543712</v>
      </c>
      <c r="E44" s="114" t="s">
        <v>155</v>
      </c>
      <c r="F44" s="115"/>
      <c r="G44" s="33"/>
      <c r="H44" s="33"/>
      <c r="I44" s="33"/>
      <c r="J44" s="33"/>
      <c r="K44" s="33"/>
      <c r="L44" s="43"/>
      <c r="M44" s="36" t="s">
        <v>92</v>
      </c>
      <c r="N44" s="118">
        <f ca="1">SUM(T8:T43)</f>
        <v>0</v>
      </c>
      <c r="O44" s="119"/>
      <c r="P44" s="119"/>
      <c r="Q44" s="119"/>
      <c r="R44" s="119"/>
      <c r="S44" s="119"/>
      <c r="T44" s="120"/>
      <c r="U44" s="73"/>
      <c r="V44" s="36" t="s">
        <v>92</v>
      </c>
      <c r="W44" s="118">
        <f ca="1">SUM(AC8:AC43)</f>
        <v>0</v>
      </c>
      <c r="X44" s="119"/>
      <c r="Y44" s="119"/>
      <c r="Z44" s="119"/>
      <c r="AA44" s="119"/>
      <c r="AB44" s="119"/>
      <c r="AC44" s="120"/>
      <c r="AD44" s="16"/>
      <c r="AE44" s="36" t="s">
        <v>92</v>
      </c>
      <c r="AF44" s="118">
        <f ca="1">SUM(AL8:AL43)</f>
        <v>0</v>
      </c>
      <c r="AG44" s="119"/>
      <c r="AH44" s="119"/>
      <c r="AI44" s="119"/>
      <c r="AJ44" s="119"/>
      <c r="AK44" s="119"/>
      <c r="AL44" s="120"/>
      <c r="AM44" s="33"/>
      <c r="AN44" s="36" t="s">
        <v>92</v>
      </c>
      <c r="AO44" s="118">
        <f ca="1">SUM(AU8:AU43)</f>
        <v>0</v>
      </c>
      <c r="AP44" s="119"/>
      <c r="AQ44" s="119"/>
      <c r="AR44" s="119"/>
      <c r="AS44" s="119"/>
      <c r="AT44" s="119"/>
      <c r="AU44" s="120"/>
      <c r="AV44" s="33"/>
      <c r="AW44" s="36" t="s">
        <v>92</v>
      </c>
      <c r="AX44" s="118">
        <f ca="1">SUM(BD8:BD43)</f>
        <v>0</v>
      </c>
      <c r="AY44" s="119"/>
      <c r="AZ44" s="119"/>
      <c r="BA44" s="119"/>
      <c r="BB44" s="119"/>
      <c r="BC44" s="119"/>
      <c r="BD44" s="120"/>
      <c r="BE44" s="33"/>
      <c r="BF44" s="36" t="s">
        <v>92</v>
      </c>
      <c r="BG44" s="118">
        <f ca="1">SUM(BM8:BM43)</f>
        <v>0</v>
      </c>
      <c r="BH44" s="119"/>
      <c r="BI44" s="119"/>
      <c r="BJ44" s="119"/>
      <c r="BK44" s="119"/>
      <c r="BL44" s="119"/>
      <c r="BM44" s="120"/>
      <c r="BN44" s="33"/>
      <c r="BO44" s="36" t="s">
        <v>92</v>
      </c>
      <c r="BP44" s="118">
        <f ca="1">SUM(BV8:BV43)</f>
        <v>0</v>
      </c>
      <c r="BQ44" s="119"/>
      <c r="BR44" s="119"/>
      <c r="BS44" s="119"/>
      <c r="BT44" s="119"/>
      <c r="BU44" s="119"/>
      <c r="BV44" s="120"/>
      <c r="BW44" s="33"/>
      <c r="BX44" s="36" t="s">
        <v>92</v>
      </c>
      <c r="BY44" s="118">
        <f ca="1">SUM(CE8:CE43)</f>
        <v>0</v>
      </c>
      <c r="BZ44" s="119"/>
      <c r="CA44" s="119"/>
      <c r="CB44" s="119"/>
      <c r="CC44" s="119"/>
      <c r="CD44" s="119"/>
      <c r="CE44" s="120"/>
      <c r="CF44" s="33"/>
      <c r="CG44" s="36" t="s">
        <v>92</v>
      </c>
      <c r="CH44" s="118">
        <f ca="1">SUM(CN8:CN43)</f>
        <v>0</v>
      </c>
      <c r="CI44" s="119"/>
      <c r="CJ44" s="119"/>
      <c r="CK44" s="119"/>
      <c r="CL44" s="119"/>
      <c r="CM44" s="119"/>
      <c r="CN44" s="120"/>
      <c r="CO44" s="33"/>
      <c r="CP44" s="36" t="s">
        <v>92</v>
      </c>
      <c r="CQ44" s="118">
        <f ca="1">SUM(CW8:CW43)</f>
        <v>0</v>
      </c>
      <c r="CR44" s="119"/>
      <c r="CS44" s="119"/>
      <c r="CT44" s="119"/>
      <c r="CU44" s="119"/>
      <c r="CV44" s="119"/>
      <c r="CW44" s="120"/>
      <c r="CX44" s="33"/>
      <c r="CY44" s="33"/>
    </row>
    <row r="45" spans="1:103" ht="16.5" x14ac:dyDescent="0.4">
      <c r="A45" s="16"/>
      <c r="B45" s="42"/>
      <c r="C45" s="64" t="s">
        <v>72</v>
      </c>
      <c r="D45" s="65">
        <f ca="1">Q2a!G32</f>
        <v>0.99651131548338501</v>
      </c>
      <c r="E45" s="114" t="s">
        <v>156</v>
      </c>
      <c r="F45" s="115"/>
      <c r="G45" s="16"/>
      <c r="H45" s="33"/>
      <c r="I45" s="33"/>
      <c r="J45" s="33"/>
      <c r="K45" s="33"/>
      <c r="L45" s="43"/>
      <c r="M45" s="43"/>
      <c r="N45" s="16"/>
      <c r="O45" s="16"/>
      <c r="P45" s="16"/>
      <c r="Q45" s="15"/>
      <c r="R45" s="42"/>
      <c r="S45" s="15"/>
      <c r="T45" s="33"/>
      <c r="U45" s="33"/>
      <c r="V45" s="33"/>
      <c r="W45" s="16"/>
      <c r="X45" s="16"/>
      <c r="Y45" s="16"/>
      <c r="Z45" s="16"/>
      <c r="AA45" s="16"/>
      <c r="AB45" s="16"/>
      <c r="AC45" s="16"/>
      <c r="AD45" s="16"/>
      <c r="AE45" s="16"/>
      <c r="AF45" s="16"/>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row>
    <row r="46" spans="1:103" ht="17.5" x14ac:dyDescent="0.45">
      <c r="A46" s="16"/>
      <c r="B46" s="42"/>
      <c r="C46" s="64" t="s">
        <v>74</v>
      </c>
      <c r="D46" s="65">
        <f ca="1">Q2a!G33</f>
        <v>1.0630718862798765</v>
      </c>
      <c r="E46" s="114" t="s">
        <v>157</v>
      </c>
      <c r="F46" s="115"/>
      <c r="G46" s="16"/>
      <c r="H46" s="33"/>
      <c r="I46" s="33"/>
      <c r="J46" s="33"/>
      <c r="K46" s="33"/>
      <c r="L46" s="43"/>
      <c r="M46" s="110" t="s">
        <v>127</v>
      </c>
      <c r="N46" s="110"/>
      <c r="O46" s="110"/>
      <c r="P46" s="110"/>
      <c r="Q46" s="110"/>
      <c r="R46" s="110"/>
      <c r="S46" s="110"/>
      <c r="T46" s="110"/>
      <c r="U46" s="33"/>
      <c r="V46" s="110" t="s">
        <v>128</v>
      </c>
      <c r="W46" s="110"/>
      <c r="X46" s="110"/>
      <c r="Y46" s="110"/>
      <c r="Z46" s="110"/>
      <c r="AA46" s="110"/>
      <c r="AB46" s="110"/>
      <c r="AC46" s="110"/>
      <c r="AD46" s="16"/>
      <c r="AE46" s="110" t="s">
        <v>129</v>
      </c>
      <c r="AF46" s="110"/>
      <c r="AG46" s="110"/>
      <c r="AH46" s="110"/>
      <c r="AI46" s="110"/>
      <c r="AJ46" s="110"/>
      <c r="AK46" s="110"/>
      <c r="AL46" s="110"/>
      <c r="AM46" s="33"/>
      <c r="AN46" s="110" t="s">
        <v>130</v>
      </c>
      <c r="AO46" s="110"/>
      <c r="AP46" s="110"/>
      <c r="AQ46" s="110"/>
      <c r="AR46" s="110"/>
      <c r="AS46" s="110"/>
      <c r="AT46" s="110"/>
      <c r="AU46" s="110"/>
      <c r="AV46" s="33"/>
      <c r="AW46" s="110" t="s">
        <v>131</v>
      </c>
      <c r="AX46" s="110"/>
      <c r="AY46" s="110"/>
      <c r="AZ46" s="110"/>
      <c r="BA46" s="110"/>
      <c r="BB46" s="110"/>
      <c r="BC46" s="110"/>
      <c r="BD46" s="110"/>
      <c r="BE46" s="33"/>
      <c r="BF46" s="111" t="s">
        <v>132</v>
      </c>
      <c r="BG46" s="112"/>
      <c r="BH46" s="112"/>
      <c r="BI46" s="112"/>
      <c r="BJ46" s="112"/>
      <c r="BK46" s="112"/>
      <c r="BL46" s="112"/>
      <c r="BM46" s="113"/>
      <c r="BN46" s="33"/>
      <c r="BO46" s="110" t="s">
        <v>133</v>
      </c>
      <c r="BP46" s="110"/>
      <c r="BQ46" s="110"/>
      <c r="BR46" s="110"/>
      <c r="BS46" s="110"/>
      <c r="BT46" s="110"/>
      <c r="BU46" s="110"/>
      <c r="BV46" s="110"/>
      <c r="BW46" s="33"/>
      <c r="BX46" s="110" t="s">
        <v>134</v>
      </c>
      <c r="BY46" s="110"/>
      <c r="BZ46" s="110"/>
      <c r="CA46" s="110"/>
      <c r="CB46" s="110"/>
      <c r="CC46" s="110"/>
      <c r="CD46" s="110"/>
      <c r="CE46" s="110"/>
      <c r="CF46" s="33"/>
      <c r="CG46" s="110" t="s">
        <v>135</v>
      </c>
      <c r="CH46" s="110"/>
      <c r="CI46" s="110"/>
      <c r="CJ46" s="110"/>
      <c r="CK46" s="110"/>
      <c r="CL46" s="110"/>
      <c r="CM46" s="110"/>
      <c r="CN46" s="110"/>
      <c r="CO46" s="33"/>
      <c r="CP46" s="110" t="s">
        <v>136</v>
      </c>
      <c r="CQ46" s="110"/>
      <c r="CR46" s="110"/>
      <c r="CS46" s="110"/>
      <c r="CT46" s="110"/>
      <c r="CU46" s="110"/>
      <c r="CV46" s="110"/>
      <c r="CW46" s="110"/>
      <c r="CX46" s="33"/>
      <c r="CY46" s="33"/>
    </row>
    <row r="47" spans="1:103" ht="15.5" x14ac:dyDescent="0.35">
      <c r="A47" s="16"/>
      <c r="B47" s="42"/>
      <c r="C47" s="68"/>
      <c r="D47" s="68"/>
      <c r="E47" s="68"/>
      <c r="F47" s="68"/>
      <c r="G47" s="16"/>
      <c r="H47" s="33"/>
      <c r="I47" s="33"/>
      <c r="J47" s="33"/>
      <c r="K47" s="33"/>
      <c r="L47" s="43"/>
      <c r="M47" s="106" t="s">
        <v>10</v>
      </c>
      <c r="N47" s="108" t="s">
        <v>15</v>
      </c>
      <c r="O47" s="49" t="s">
        <v>53</v>
      </c>
      <c r="P47" s="48" t="s">
        <v>85</v>
      </c>
      <c r="Q47" s="108" t="s">
        <v>77</v>
      </c>
      <c r="R47" s="49" t="s">
        <v>87</v>
      </c>
      <c r="S47" s="108" t="s">
        <v>24</v>
      </c>
      <c r="T47" s="108" t="s">
        <v>25</v>
      </c>
      <c r="U47" s="33"/>
      <c r="V47" s="106" t="s">
        <v>10</v>
      </c>
      <c r="W47" s="108" t="s">
        <v>15</v>
      </c>
      <c r="X47" s="49" t="s">
        <v>53</v>
      </c>
      <c r="Y47" s="48" t="s">
        <v>85</v>
      </c>
      <c r="Z47" s="108" t="s">
        <v>77</v>
      </c>
      <c r="AA47" s="49" t="s">
        <v>87</v>
      </c>
      <c r="AB47" s="108" t="s">
        <v>24</v>
      </c>
      <c r="AC47" s="108" t="s">
        <v>25</v>
      </c>
      <c r="AD47" s="16"/>
      <c r="AE47" s="106" t="s">
        <v>10</v>
      </c>
      <c r="AF47" s="108" t="s">
        <v>15</v>
      </c>
      <c r="AG47" s="49" t="s">
        <v>53</v>
      </c>
      <c r="AH47" s="48" t="s">
        <v>85</v>
      </c>
      <c r="AI47" s="108" t="s">
        <v>77</v>
      </c>
      <c r="AJ47" s="49" t="s">
        <v>87</v>
      </c>
      <c r="AK47" s="108" t="s">
        <v>24</v>
      </c>
      <c r="AL47" s="108" t="s">
        <v>25</v>
      </c>
      <c r="AM47" s="33"/>
      <c r="AN47" s="106" t="s">
        <v>10</v>
      </c>
      <c r="AO47" s="108" t="s">
        <v>15</v>
      </c>
      <c r="AP47" s="49" t="s">
        <v>53</v>
      </c>
      <c r="AQ47" s="48" t="s">
        <v>85</v>
      </c>
      <c r="AR47" s="108" t="s">
        <v>77</v>
      </c>
      <c r="AS47" s="49" t="s">
        <v>87</v>
      </c>
      <c r="AT47" s="108" t="s">
        <v>24</v>
      </c>
      <c r="AU47" s="108" t="s">
        <v>25</v>
      </c>
      <c r="AV47" s="33"/>
      <c r="AW47" s="106" t="s">
        <v>10</v>
      </c>
      <c r="AX47" s="108" t="s">
        <v>15</v>
      </c>
      <c r="AY47" s="49" t="s">
        <v>53</v>
      </c>
      <c r="AZ47" s="48" t="s">
        <v>85</v>
      </c>
      <c r="BA47" s="108" t="s">
        <v>77</v>
      </c>
      <c r="BB47" s="49" t="s">
        <v>87</v>
      </c>
      <c r="BC47" s="108" t="s">
        <v>24</v>
      </c>
      <c r="BD47" s="108" t="s">
        <v>25</v>
      </c>
      <c r="BE47" s="33"/>
      <c r="BF47" s="106" t="s">
        <v>10</v>
      </c>
      <c r="BG47" s="108" t="s">
        <v>15</v>
      </c>
      <c r="BH47" s="49" t="s">
        <v>53</v>
      </c>
      <c r="BI47" s="48" t="s">
        <v>85</v>
      </c>
      <c r="BJ47" s="108" t="s">
        <v>77</v>
      </c>
      <c r="BK47" s="49" t="s">
        <v>87</v>
      </c>
      <c r="BL47" s="108" t="s">
        <v>24</v>
      </c>
      <c r="BM47" s="108" t="s">
        <v>25</v>
      </c>
      <c r="BN47" s="33"/>
      <c r="BO47" s="106" t="s">
        <v>10</v>
      </c>
      <c r="BP47" s="108" t="s">
        <v>15</v>
      </c>
      <c r="BQ47" s="49" t="s">
        <v>53</v>
      </c>
      <c r="BR47" s="48" t="s">
        <v>85</v>
      </c>
      <c r="BS47" s="108" t="s">
        <v>77</v>
      </c>
      <c r="BT47" s="49" t="s">
        <v>87</v>
      </c>
      <c r="BU47" s="108" t="s">
        <v>24</v>
      </c>
      <c r="BV47" s="108" t="s">
        <v>25</v>
      </c>
      <c r="BW47" s="33"/>
      <c r="BX47" s="106" t="s">
        <v>10</v>
      </c>
      <c r="BY47" s="108" t="s">
        <v>15</v>
      </c>
      <c r="BZ47" s="49" t="s">
        <v>53</v>
      </c>
      <c r="CA47" s="48" t="s">
        <v>85</v>
      </c>
      <c r="CB47" s="108" t="s">
        <v>77</v>
      </c>
      <c r="CC47" s="49" t="s">
        <v>87</v>
      </c>
      <c r="CD47" s="108" t="s">
        <v>24</v>
      </c>
      <c r="CE47" s="108" t="s">
        <v>25</v>
      </c>
      <c r="CF47" s="33"/>
      <c r="CG47" s="106" t="s">
        <v>10</v>
      </c>
      <c r="CH47" s="108" t="s">
        <v>15</v>
      </c>
      <c r="CI47" s="49" t="s">
        <v>53</v>
      </c>
      <c r="CJ47" s="48" t="s">
        <v>85</v>
      </c>
      <c r="CK47" s="108" t="s">
        <v>77</v>
      </c>
      <c r="CL47" s="49" t="s">
        <v>87</v>
      </c>
      <c r="CM47" s="108" t="s">
        <v>24</v>
      </c>
      <c r="CN47" s="108" t="s">
        <v>25</v>
      </c>
      <c r="CO47" s="33"/>
      <c r="CP47" s="106" t="s">
        <v>10</v>
      </c>
      <c r="CQ47" s="108" t="s">
        <v>15</v>
      </c>
      <c r="CR47" s="49" t="s">
        <v>53</v>
      </c>
      <c r="CS47" s="48" t="s">
        <v>85</v>
      </c>
      <c r="CT47" s="108" t="s">
        <v>77</v>
      </c>
      <c r="CU47" s="49" t="s">
        <v>87</v>
      </c>
      <c r="CV47" s="108" t="s">
        <v>24</v>
      </c>
      <c r="CW47" s="108" t="s">
        <v>25</v>
      </c>
      <c r="CX47" s="33"/>
      <c r="CY47" s="33"/>
    </row>
    <row r="48" spans="1:103" ht="15.5" x14ac:dyDescent="0.35">
      <c r="A48" s="16"/>
      <c r="B48" s="42"/>
      <c r="C48" s="68"/>
      <c r="D48" s="68"/>
      <c r="E48" s="68"/>
      <c r="F48" s="68"/>
      <c r="G48" s="16"/>
      <c r="H48" s="33"/>
      <c r="I48" s="33"/>
      <c r="J48" s="33"/>
      <c r="K48" s="33"/>
      <c r="L48" s="43"/>
      <c r="M48" s="107"/>
      <c r="N48" s="109"/>
      <c r="O48" s="50" t="s">
        <v>86</v>
      </c>
      <c r="P48" s="50" t="s">
        <v>158</v>
      </c>
      <c r="Q48" s="109"/>
      <c r="R48" s="50" t="s">
        <v>88</v>
      </c>
      <c r="S48" s="109"/>
      <c r="T48" s="109"/>
      <c r="U48" s="33"/>
      <c r="V48" s="107"/>
      <c r="W48" s="109"/>
      <c r="X48" s="50" t="s">
        <v>86</v>
      </c>
      <c r="Y48" s="50" t="s">
        <v>158</v>
      </c>
      <c r="Z48" s="109"/>
      <c r="AA48" s="50" t="s">
        <v>88</v>
      </c>
      <c r="AB48" s="109"/>
      <c r="AC48" s="109"/>
      <c r="AD48" s="16"/>
      <c r="AE48" s="107"/>
      <c r="AF48" s="109"/>
      <c r="AG48" s="50" t="s">
        <v>86</v>
      </c>
      <c r="AH48" s="50" t="s">
        <v>158</v>
      </c>
      <c r="AI48" s="109"/>
      <c r="AJ48" s="50" t="s">
        <v>88</v>
      </c>
      <c r="AK48" s="109"/>
      <c r="AL48" s="109"/>
      <c r="AM48" s="33"/>
      <c r="AN48" s="107"/>
      <c r="AO48" s="109"/>
      <c r="AP48" s="50" t="s">
        <v>86</v>
      </c>
      <c r="AQ48" s="50" t="s">
        <v>158</v>
      </c>
      <c r="AR48" s="109"/>
      <c r="AS48" s="50" t="s">
        <v>88</v>
      </c>
      <c r="AT48" s="109"/>
      <c r="AU48" s="109"/>
      <c r="AV48" s="33"/>
      <c r="AW48" s="107"/>
      <c r="AX48" s="109"/>
      <c r="AY48" s="50" t="s">
        <v>86</v>
      </c>
      <c r="AZ48" s="50" t="s">
        <v>158</v>
      </c>
      <c r="BA48" s="109"/>
      <c r="BB48" s="50" t="s">
        <v>88</v>
      </c>
      <c r="BC48" s="109"/>
      <c r="BD48" s="109"/>
      <c r="BE48" s="33"/>
      <c r="BF48" s="107"/>
      <c r="BG48" s="109"/>
      <c r="BH48" s="50" t="s">
        <v>86</v>
      </c>
      <c r="BI48" s="50" t="s">
        <v>158</v>
      </c>
      <c r="BJ48" s="109"/>
      <c r="BK48" s="50" t="s">
        <v>88</v>
      </c>
      <c r="BL48" s="109"/>
      <c r="BM48" s="109"/>
      <c r="BN48" s="33"/>
      <c r="BO48" s="107"/>
      <c r="BP48" s="109"/>
      <c r="BQ48" s="50" t="s">
        <v>86</v>
      </c>
      <c r="BR48" s="50" t="s">
        <v>158</v>
      </c>
      <c r="BS48" s="109"/>
      <c r="BT48" s="50" t="s">
        <v>88</v>
      </c>
      <c r="BU48" s="109"/>
      <c r="BV48" s="109"/>
      <c r="BW48" s="33"/>
      <c r="BX48" s="107"/>
      <c r="BY48" s="109"/>
      <c r="BZ48" s="50" t="s">
        <v>86</v>
      </c>
      <c r="CA48" s="50" t="s">
        <v>158</v>
      </c>
      <c r="CB48" s="109"/>
      <c r="CC48" s="50" t="s">
        <v>88</v>
      </c>
      <c r="CD48" s="109"/>
      <c r="CE48" s="109"/>
      <c r="CF48" s="33"/>
      <c r="CG48" s="107"/>
      <c r="CH48" s="109"/>
      <c r="CI48" s="50" t="s">
        <v>86</v>
      </c>
      <c r="CJ48" s="50" t="s">
        <v>158</v>
      </c>
      <c r="CK48" s="109"/>
      <c r="CL48" s="50" t="s">
        <v>88</v>
      </c>
      <c r="CM48" s="109"/>
      <c r="CN48" s="109"/>
      <c r="CO48" s="33"/>
      <c r="CP48" s="107"/>
      <c r="CQ48" s="109"/>
      <c r="CR48" s="50" t="s">
        <v>86</v>
      </c>
      <c r="CS48" s="50" t="s">
        <v>158</v>
      </c>
      <c r="CT48" s="109"/>
      <c r="CU48" s="50" t="s">
        <v>88</v>
      </c>
      <c r="CV48" s="109"/>
      <c r="CW48" s="109"/>
      <c r="CX48" s="33"/>
      <c r="CY48" s="33"/>
    </row>
    <row r="49" spans="1:103" ht="15.5" x14ac:dyDescent="0.35">
      <c r="A49" s="16"/>
      <c r="B49" s="42"/>
      <c r="C49" s="68"/>
      <c r="D49" s="68"/>
      <c r="E49" s="68"/>
      <c r="F49" s="68"/>
      <c r="G49" s="16"/>
      <c r="H49" s="33"/>
      <c r="I49" s="33"/>
      <c r="J49" s="33"/>
      <c r="K49" s="33"/>
      <c r="L49" s="43"/>
      <c r="M49" s="51" t="s">
        <v>14</v>
      </c>
      <c r="N49" s="52" t="s">
        <v>18</v>
      </c>
      <c r="O49" s="52" t="s">
        <v>18</v>
      </c>
      <c r="P49" s="53" t="s">
        <v>21</v>
      </c>
      <c r="Q49" s="53"/>
      <c r="R49" s="54" t="s">
        <v>31</v>
      </c>
      <c r="S49" s="52"/>
      <c r="T49" s="54" t="s">
        <v>31</v>
      </c>
      <c r="U49" s="33"/>
      <c r="V49" s="51" t="s">
        <v>14</v>
      </c>
      <c r="W49" s="52" t="s">
        <v>18</v>
      </c>
      <c r="X49" s="52" t="s">
        <v>18</v>
      </c>
      <c r="Y49" s="53" t="s">
        <v>21</v>
      </c>
      <c r="Z49" s="53"/>
      <c r="AA49" s="54" t="s">
        <v>31</v>
      </c>
      <c r="AB49" s="52"/>
      <c r="AC49" s="54" t="s">
        <v>31</v>
      </c>
      <c r="AD49" s="16"/>
      <c r="AE49" s="51" t="s">
        <v>14</v>
      </c>
      <c r="AF49" s="52" t="s">
        <v>18</v>
      </c>
      <c r="AG49" s="52" t="s">
        <v>18</v>
      </c>
      <c r="AH49" s="53" t="s">
        <v>21</v>
      </c>
      <c r="AI49" s="53"/>
      <c r="AJ49" s="54" t="s">
        <v>31</v>
      </c>
      <c r="AK49" s="52"/>
      <c r="AL49" s="54" t="s">
        <v>31</v>
      </c>
      <c r="AM49" s="33"/>
      <c r="AN49" s="51" t="s">
        <v>14</v>
      </c>
      <c r="AO49" s="52" t="s">
        <v>18</v>
      </c>
      <c r="AP49" s="52" t="s">
        <v>18</v>
      </c>
      <c r="AQ49" s="53" t="s">
        <v>21</v>
      </c>
      <c r="AR49" s="53"/>
      <c r="AS49" s="54" t="s">
        <v>31</v>
      </c>
      <c r="AT49" s="52"/>
      <c r="AU49" s="54" t="s">
        <v>31</v>
      </c>
      <c r="AV49" s="33"/>
      <c r="AW49" s="51" t="s">
        <v>14</v>
      </c>
      <c r="AX49" s="52" t="s">
        <v>18</v>
      </c>
      <c r="AY49" s="52" t="s">
        <v>18</v>
      </c>
      <c r="AZ49" s="53" t="s">
        <v>21</v>
      </c>
      <c r="BA49" s="53"/>
      <c r="BB49" s="54" t="s">
        <v>31</v>
      </c>
      <c r="BC49" s="52"/>
      <c r="BD49" s="54" t="s">
        <v>31</v>
      </c>
      <c r="BE49" s="33"/>
      <c r="BF49" s="51" t="s">
        <v>14</v>
      </c>
      <c r="BG49" s="52" t="s">
        <v>18</v>
      </c>
      <c r="BH49" s="52" t="s">
        <v>18</v>
      </c>
      <c r="BI49" s="53" t="s">
        <v>21</v>
      </c>
      <c r="BJ49" s="53"/>
      <c r="BK49" s="54" t="s">
        <v>31</v>
      </c>
      <c r="BL49" s="52"/>
      <c r="BM49" s="54" t="s">
        <v>31</v>
      </c>
      <c r="BN49" s="33"/>
      <c r="BO49" s="51" t="s">
        <v>14</v>
      </c>
      <c r="BP49" s="52" t="s">
        <v>18</v>
      </c>
      <c r="BQ49" s="52" t="s">
        <v>18</v>
      </c>
      <c r="BR49" s="53" t="s">
        <v>21</v>
      </c>
      <c r="BS49" s="53"/>
      <c r="BT49" s="54" t="s">
        <v>31</v>
      </c>
      <c r="BU49" s="52"/>
      <c r="BV49" s="54" t="s">
        <v>31</v>
      </c>
      <c r="BW49" s="33"/>
      <c r="BX49" s="51" t="s">
        <v>14</v>
      </c>
      <c r="BY49" s="52" t="s">
        <v>18</v>
      </c>
      <c r="BZ49" s="52" t="s">
        <v>18</v>
      </c>
      <c r="CA49" s="53" t="s">
        <v>21</v>
      </c>
      <c r="CB49" s="53"/>
      <c r="CC49" s="54" t="s">
        <v>31</v>
      </c>
      <c r="CD49" s="52"/>
      <c r="CE49" s="54" t="s">
        <v>31</v>
      </c>
      <c r="CF49" s="33"/>
      <c r="CG49" s="51" t="s">
        <v>14</v>
      </c>
      <c r="CH49" s="52" t="s">
        <v>18</v>
      </c>
      <c r="CI49" s="52" t="s">
        <v>18</v>
      </c>
      <c r="CJ49" s="53" t="s">
        <v>21</v>
      </c>
      <c r="CK49" s="53"/>
      <c r="CL49" s="54" t="s">
        <v>31</v>
      </c>
      <c r="CM49" s="52"/>
      <c r="CN49" s="54" t="s">
        <v>31</v>
      </c>
      <c r="CO49" s="33"/>
      <c r="CP49" s="51" t="s">
        <v>14</v>
      </c>
      <c r="CQ49" s="52" t="s">
        <v>18</v>
      </c>
      <c r="CR49" s="52" t="s">
        <v>18</v>
      </c>
      <c r="CS49" s="53" t="s">
        <v>21</v>
      </c>
      <c r="CT49" s="53"/>
      <c r="CU49" s="54" t="s">
        <v>31</v>
      </c>
      <c r="CV49" s="52"/>
      <c r="CW49" s="54" t="s">
        <v>31</v>
      </c>
      <c r="CX49" s="33"/>
      <c r="CY49" s="33"/>
    </row>
    <row r="50" spans="1:103" ht="15.5" x14ac:dyDescent="0.35">
      <c r="A50" s="16"/>
      <c r="B50" s="16"/>
      <c r="C50" s="16"/>
      <c r="D50" s="16"/>
      <c r="E50" s="16"/>
      <c r="F50" s="16"/>
      <c r="G50" s="16"/>
      <c r="H50" s="16"/>
      <c r="I50" s="16"/>
      <c r="J50" s="16"/>
      <c r="K50" s="42"/>
      <c r="L50" s="43"/>
      <c r="M50" s="25">
        <v>0</v>
      </c>
      <c r="N50" s="26">
        <f>date_today</f>
        <v>41296</v>
      </c>
      <c r="O50" s="26">
        <f t="shared" ref="O50:O85" si="60">DATE(YEAR(N50), MONTH(N50)-lag_time, DAY(N50))</f>
        <v>41051</v>
      </c>
      <c r="P50" s="55">
        <v>-7</v>
      </c>
      <c r="Q50" s="56" t="s">
        <v>137</v>
      </c>
      <c r="R50" s="28">
        <f ca="1">T50</f>
        <v>-460.03298328975097</v>
      </c>
      <c r="S50" s="28">
        <f t="shared" ref="S50:S85" si="61">(1+money_yield)^(-1*M50)</f>
        <v>1</v>
      </c>
      <c r="T50" s="37">
        <f ca="1">-SUM(T51:T85)</f>
        <v>-460.03298328975097</v>
      </c>
      <c r="U50" s="16"/>
      <c r="V50" s="25">
        <v>0</v>
      </c>
      <c r="W50" s="26">
        <f>date_today</f>
        <v>41296</v>
      </c>
      <c r="X50" s="26">
        <f t="shared" ref="X50:X85" si="62">DATE(YEAR(W50), MONTH(W50)-lag_time, DAY(W50))</f>
        <v>41051</v>
      </c>
      <c r="Y50" s="55">
        <v>-7</v>
      </c>
      <c r="Z50" s="56" t="s">
        <v>137</v>
      </c>
      <c r="AA50" s="28">
        <f ca="1">AC50</f>
        <v>-403.19289946297192</v>
      </c>
      <c r="AB50" s="28">
        <f t="shared" ref="AB50:AB85" si="63">(1+money_yield)^(-1*V50)</f>
        <v>1</v>
      </c>
      <c r="AC50" s="37">
        <f ca="1">-SUM(AC51:AC85)</f>
        <v>-403.19289946297192</v>
      </c>
      <c r="AD50" s="16"/>
      <c r="AE50" s="25">
        <v>0</v>
      </c>
      <c r="AF50" s="26">
        <f>date_today</f>
        <v>41296</v>
      </c>
      <c r="AG50" s="26">
        <f t="shared" ref="AG50:AG85" si="64">DATE(YEAR(AF50), MONTH(AF50)-lag_time, DAY(AF50))</f>
        <v>41051</v>
      </c>
      <c r="AH50" s="55">
        <v>-7</v>
      </c>
      <c r="AI50" s="56" t="s">
        <v>137</v>
      </c>
      <c r="AJ50" s="28">
        <f ca="1">AL50</f>
        <v>-459.91700385378437</v>
      </c>
      <c r="AK50" s="28">
        <f t="shared" ref="AK50:AK85" si="65">(1+money_yield)^(-1*AE50)</f>
        <v>1</v>
      </c>
      <c r="AL50" s="37">
        <f ca="1">-SUM(AL51:AL85)</f>
        <v>-459.91700385378437</v>
      </c>
      <c r="AM50" s="33"/>
      <c r="AN50" s="25">
        <v>0</v>
      </c>
      <c r="AO50" s="26">
        <f>date_today</f>
        <v>41296</v>
      </c>
      <c r="AP50" s="26">
        <f t="shared" ref="AP50:AP85" si="66">DATE(YEAR(AO50), MONTH(AO50)-lag_time, DAY(AO50))</f>
        <v>41051</v>
      </c>
      <c r="AQ50" s="55">
        <v>-7</v>
      </c>
      <c r="AR50" s="56" t="s">
        <v>137</v>
      </c>
      <c r="AS50" s="28">
        <f ca="1">AU50</f>
        <v>-368.94353957032524</v>
      </c>
      <c r="AT50" s="28">
        <f t="shared" ref="AT50:AT85" si="67">(1+money_yield)^(-1*AN50)</f>
        <v>1</v>
      </c>
      <c r="AU50" s="37">
        <f ca="1">-SUM(AU51:AU85)</f>
        <v>-368.94353957032524</v>
      </c>
      <c r="AV50" s="33"/>
      <c r="AW50" s="25">
        <v>0</v>
      </c>
      <c r="AX50" s="26">
        <f>date_today</f>
        <v>41296</v>
      </c>
      <c r="AY50" s="26">
        <f t="shared" ref="AY50:AY85" si="68">DATE(YEAR(AX50), MONTH(AX50)-lag_time, DAY(AX50))</f>
        <v>41051</v>
      </c>
      <c r="AZ50" s="55">
        <v>-7</v>
      </c>
      <c r="BA50" s="56" t="s">
        <v>137</v>
      </c>
      <c r="BB50" s="28">
        <f ca="1">BD50</f>
        <v>-540.21521840339017</v>
      </c>
      <c r="BC50" s="28">
        <f t="shared" ref="BC50:BC85" si="69">(1+money_yield)^(-1*AW50)</f>
        <v>1</v>
      </c>
      <c r="BD50" s="37">
        <f ca="1">-SUM(BD51:BD85)</f>
        <v>-540.21521840339017</v>
      </c>
      <c r="BE50" s="33"/>
      <c r="BF50" s="25">
        <v>0</v>
      </c>
      <c r="BG50" s="26">
        <f>date_today</f>
        <v>41296</v>
      </c>
      <c r="BH50" s="26">
        <f t="shared" ref="BH50:BH85" si="70">DATE(YEAR(BG50), MONTH(BG50)-lag_time, DAY(BG50))</f>
        <v>41051</v>
      </c>
      <c r="BI50" s="55">
        <v>-7</v>
      </c>
      <c r="BJ50" s="56" t="s">
        <v>137</v>
      </c>
      <c r="BK50" s="28">
        <f ca="1">BM50</f>
        <v>-409.07555031535873</v>
      </c>
      <c r="BL50" s="28">
        <f t="shared" ref="BL50:BL85" si="71">(1+money_yield)^(-1*BF50)</f>
        <v>1</v>
      </c>
      <c r="BM50" s="37">
        <f ca="1">-SUM(BM51:BM85)</f>
        <v>-409.07555031535873</v>
      </c>
      <c r="BN50" s="33"/>
      <c r="BO50" s="25">
        <v>0</v>
      </c>
      <c r="BP50" s="26">
        <f>date_today</f>
        <v>41296</v>
      </c>
      <c r="BQ50" s="26">
        <f t="shared" ref="BQ50:BQ85" si="72">DATE(YEAR(BP50), MONTH(BP50)-lag_time, DAY(BP50))</f>
        <v>41051</v>
      </c>
      <c r="BR50" s="55">
        <v>-7</v>
      </c>
      <c r="BS50" s="56" t="s">
        <v>137</v>
      </c>
      <c r="BT50" s="28">
        <f ca="1">BV50</f>
        <v>-541.4650363476278</v>
      </c>
      <c r="BU50" s="28">
        <f t="shared" ref="BU50:BU85" si="73">(1+money_yield)^(-1*BO50)</f>
        <v>1</v>
      </c>
      <c r="BV50" s="37">
        <f ca="1">-SUM(BV51:BV85)</f>
        <v>-541.4650363476278</v>
      </c>
      <c r="BW50" s="33"/>
      <c r="BX50" s="25">
        <v>0</v>
      </c>
      <c r="BY50" s="26">
        <f>date_today</f>
        <v>41296</v>
      </c>
      <c r="BZ50" s="26">
        <f t="shared" ref="BZ50:BZ85" si="74">DATE(YEAR(BY50), MONTH(BY50)-lag_time, DAY(BY50))</f>
        <v>41051</v>
      </c>
      <c r="CA50" s="55">
        <v>-7</v>
      </c>
      <c r="CB50" s="56" t="s">
        <v>137</v>
      </c>
      <c r="CC50" s="28">
        <f ca="1">CE50</f>
        <v>-376.97364770479646</v>
      </c>
      <c r="CD50" s="28">
        <f t="shared" ref="CD50:CD85" si="75">(1+money_yield)^(-1*BX50)</f>
        <v>1</v>
      </c>
      <c r="CE50" s="37">
        <f ca="1">-SUM(CE51:CE85)</f>
        <v>-376.97364770479646</v>
      </c>
      <c r="CF50" s="33"/>
      <c r="CG50" s="25">
        <v>0</v>
      </c>
      <c r="CH50" s="26">
        <f>date_today</f>
        <v>41296</v>
      </c>
      <c r="CI50" s="26">
        <f t="shared" ref="CI50:CI85" si="76">DATE(YEAR(CH50), MONTH(CH50)-lag_time, DAY(CH50))</f>
        <v>41051</v>
      </c>
      <c r="CJ50" s="55">
        <v>-7</v>
      </c>
      <c r="CK50" s="56" t="s">
        <v>137</v>
      </c>
      <c r="CL50" s="28">
        <f ca="1">CN50</f>
        <v>-224.1463267367584</v>
      </c>
      <c r="CM50" s="28">
        <f t="shared" ref="CM50:CM85" si="77">(1+money_yield)^(-1*CG50)</f>
        <v>1</v>
      </c>
      <c r="CN50" s="37">
        <f ca="1">-SUM(CN51:CN85)</f>
        <v>-224.1463267367584</v>
      </c>
      <c r="CO50" s="33"/>
      <c r="CP50" s="25">
        <v>0</v>
      </c>
      <c r="CQ50" s="26">
        <f>date_today</f>
        <v>41296</v>
      </c>
      <c r="CR50" s="26">
        <f t="shared" ref="CR50:CR85" si="78">DATE(YEAR(CQ50), MONTH(CQ50)-lag_time, DAY(CQ50))</f>
        <v>41051</v>
      </c>
      <c r="CS50" s="55">
        <v>-7</v>
      </c>
      <c r="CT50" s="56" t="s">
        <v>137</v>
      </c>
      <c r="CU50" s="28">
        <f ca="1">CW50</f>
        <v>-537.31941818650773</v>
      </c>
      <c r="CV50" s="28">
        <f t="shared" ref="CV50:CV85" si="79">(1+money_yield)^(-1*CP50)</f>
        <v>1</v>
      </c>
      <c r="CW50" s="37">
        <f ca="1">-SUM(CW51:CW85)</f>
        <v>-537.31941818650773</v>
      </c>
      <c r="CX50" s="33"/>
      <c r="CY50" s="33"/>
    </row>
    <row r="51" spans="1:103" ht="15.5" x14ac:dyDescent="0.35">
      <c r="A51" s="16"/>
      <c r="B51" s="16"/>
      <c r="C51" s="16"/>
      <c r="D51" s="16"/>
      <c r="E51" s="16"/>
      <c r="F51" s="16"/>
      <c r="G51" s="16"/>
      <c r="H51" s="16"/>
      <c r="I51" s="16"/>
      <c r="J51" s="16"/>
      <c r="K51" s="16"/>
      <c r="L51" s="16"/>
      <c r="M51" s="27">
        <v>0.5</v>
      </c>
      <c r="N51" s="30">
        <f t="shared" ref="N51:N85" si="80" xml:space="preserve"> DATE(YEAR(N50), MONTH(N50)+6, DAY(N50))</f>
        <v>41477</v>
      </c>
      <c r="O51" s="26">
        <f t="shared" si="60"/>
        <v>41235</v>
      </c>
      <c r="P51" s="55">
        <v>-1</v>
      </c>
      <c r="Q51" s="56">
        <f>RPI_nov12</f>
        <v>245.6</v>
      </c>
      <c r="R51" s="28">
        <f t="shared" ref="R51:R84" si="81">coupon*Q51/RPI_base</f>
        <v>3.7494448556624724</v>
      </c>
      <c r="S51" s="28">
        <f t="shared" si="61"/>
        <v>0.98924115382380051</v>
      </c>
      <c r="T51" s="29">
        <f>R51*S51</f>
        <v>3.7091051552142575</v>
      </c>
      <c r="U51" s="16"/>
      <c r="V51" s="27">
        <v>0.5</v>
      </c>
      <c r="W51" s="30">
        <f t="shared" ref="W51:W85" si="82" xml:space="preserve"> DATE(YEAR(W50), MONTH(W50)+6, DAY(W50))</f>
        <v>41477</v>
      </c>
      <c r="X51" s="26">
        <f t="shared" si="62"/>
        <v>41235</v>
      </c>
      <c r="Y51" s="55">
        <v>-1</v>
      </c>
      <c r="Z51" s="56">
        <f>RPI_nov12</f>
        <v>245.6</v>
      </c>
      <c r="AA51" s="28">
        <f t="shared" ref="AA51:AA84" si="83">coupon*Z51/RPI_base</f>
        <v>3.7494448556624724</v>
      </c>
      <c r="AB51" s="28">
        <f t="shared" si="63"/>
        <v>0.98924115382380051</v>
      </c>
      <c r="AC51" s="29">
        <f>AA51*AB51</f>
        <v>3.7091051552142575</v>
      </c>
      <c r="AD51" s="16"/>
      <c r="AE51" s="27">
        <v>0.5</v>
      </c>
      <c r="AF51" s="30">
        <f t="shared" ref="AF51:AF85" si="84" xml:space="preserve"> DATE(YEAR(AF50), MONTH(AF50)+6, DAY(AF50))</f>
        <v>41477</v>
      </c>
      <c r="AG51" s="26">
        <f t="shared" si="64"/>
        <v>41235</v>
      </c>
      <c r="AH51" s="55">
        <v>-1</v>
      </c>
      <c r="AI51" s="56">
        <f>RPI_nov12</f>
        <v>245.6</v>
      </c>
      <c r="AJ51" s="28">
        <f t="shared" ref="AJ51:AJ84" si="85">coupon*AI51/RPI_base</f>
        <v>3.7494448556624724</v>
      </c>
      <c r="AK51" s="28">
        <f t="shared" si="65"/>
        <v>0.98924115382380051</v>
      </c>
      <c r="AL51" s="29">
        <f>AJ51*AK51</f>
        <v>3.7091051552142575</v>
      </c>
      <c r="AM51" s="33"/>
      <c r="AN51" s="27">
        <v>0.5</v>
      </c>
      <c r="AO51" s="30">
        <f t="shared" ref="AO51:AO85" si="86" xml:space="preserve"> DATE(YEAR(AO50), MONTH(AO50)+6, DAY(AO50))</f>
        <v>41477</v>
      </c>
      <c r="AP51" s="26">
        <f t="shared" si="66"/>
        <v>41235</v>
      </c>
      <c r="AQ51" s="55">
        <v>-1</v>
      </c>
      <c r="AR51" s="56">
        <f>RPI_nov12</f>
        <v>245.6</v>
      </c>
      <c r="AS51" s="28">
        <f t="shared" ref="AS51:AS84" si="87">coupon*AR51/RPI_base</f>
        <v>3.7494448556624724</v>
      </c>
      <c r="AT51" s="28">
        <f t="shared" si="67"/>
        <v>0.98924115382380051</v>
      </c>
      <c r="AU51" s="29">
        <f>AS51*AT51</f>
        <v>3.7091051552142575</v>
      </c>
      <c r="AV51" s="33"/>
      <c r="AW51" s="27">
        <v>0.5</v>
      </c>
      <c r="AX51" s="30">
        <f t="shared" ref="AX51:AX85" si="88" xml:space="preserve"> DATE(YEAR(AX50), MONTH(AX50)+6, DAY(AX50))</f>
        <v>41477</v>
      </c>
      <c r="AY51" s="26">
        <f t="shared" si="68"/>
        <v>41235</v>
      </c>
      <c r="AZ51" s="55">
        <v>-1</v>
      </c>
      <c r="BA51" s="56">
        <f>RPI_nov12</f>
        <v>245.6</v>
      </c>
      <c r="BB51" s="28">
        <f t="shared" ref="BB51:BB84" si="89">coupon*BA51/RPI_base</f>
        <v>3.7494448556624724</v>
      </c>
      <c r="BC51" s="28">
        <f t="shared" si="69"/>
        <v>0.98924115382380051</v>
      </c>
      <c r="BD51" s="29">
        <f>BB51*BC51</f>
        <v>3.7091051552142575</v>
      </c>
      <c r="BE51" s="33"/>
      <c r="BF51" s="27">
        <v>0.5</v>
      </c>
      <c r="BG51" s="30">
        <f t="shared" ref="BG51:BG85" si="90" xml:space="preserve"> DATE(YEAR(BG50), MONTH(BG50)+6, DAY(BG50))</f>
        <v>41477</v>
      </c>
      <c r="BH51" s="26">
        <f t="shared" si="70"/>
        <v>41235</v>
      </c>
      <c r="BI51" s="55">
        <v>-1</v>
      </c>
      <c r="BJ51" s="56">
        <f>RPI_nov12</f>
        <v>245.6</v>
      </c>
      <c r="BK51" s="28">
        <f t="shared" ref="BK51:BK84" si="91">coupon*BJ51/RPI_base</f>
        <v>3.7494448556624724</v>
      </c>
      <c r="BL51" s="28">
        <f t="shared" si="71"/>
        <v>0.98924115382380051</v>
      </c>
      <c r="BM51" s="29">
        <f>BK51*BL51</f>
        <v>3.7091051552142575</v>
      </c>
      <c r="BN51" s="33"/>
      <c r="BO51" s="27">
        <v>0.5</v>
      </c>
      <c r="BP51" s="30">
        <f t="shared" ref="BP51:BP85" si="92" xml:space="preserve"> DATE(YEAR(BP50), MONTH(BP50)+6, DAY(BP50))</f>
        <v>41477</v>
      </c>
      <c r="BQ51" s="26">
        <f t="shared" si="72"/>
        <v>41235</v>
      </c>
      <c r="BR51" s="55">
        <v>-1</v>
      </c>
      <c r="BS51" s="56">
        <f>RPI_nov12</f>
        <v>245.6</v>
      </c>
      <c r="BT51" s="28">
        <f t="shared" ref="BT51:BT84" si="93">coupon*BS51/RPI_base</f>
        <v>3.7494448556624724</v>
      </c>
      <c r="BU51" s="28">
        <f t="shared" si="73"/>
        <v>0.98924115382380051</v>
      </c>
      <c r="BV51" s="29">
        <f>BT51*BU51</f>
        <v>3.7091051552142575</v>
      </c>
      <c r="BW51" s="33"/>
      <c r="BX51" s="27">
        <v>0.5</v>
      </c>
      <c r="BY51" s="30">
        <f t="shared" ref="BY51:BY85" si="94" xml:space="preserve"> DATE(YEAR(BY50), MONTH(BY50)+6, DAY(BY50))</f>
        <v>41477</v>
      </c>
      <c r="BZ51" s="26">
        <f t="shared" si="74"/>
        <v>41235</v>
      </c>
      <c r="CA51" s="55">
        <v>-1</v>
      </c>
      <c r="CB51" s="56">
        <f>RPI_nov12</f>
        <v>245.6</v>
      </c>
      <c r="CC51" s="28">
        <f t="shared" ref="CC51:CC84" si="95">coupon*CB51/RPI_base</f>
        <v>3.7494448556624724</v>
      </c>
      <c r="CD51" s="28">
        <f t="shared" si="75"/>
        <v>0.98924115382380051</v>
      </c>
      <c r="CE51" s="29">
        <f>CC51*CD51</f>
        <v>3.7091051552142575</v>
      </c>
      <c r="CF51" s="33"/>
      <c r="CG51" s="27">
        <v>0.5</v>
      </c>
      <c r="CH51" s="30">
        <f t="shared" ref="CH51:CH85" si="96" xml:space="preserve"> DATE(YEAR(CH50), MONTH(CH50)+6, DAY(CH50))</f>
        <v>41477</v>
      </c>
      <c r="CI51" s="26">
        <f t="shared" si="76"/>
        <v>41235</v>
      </c>
      <c r="CJ51" s="55">
        <v>-1</v>
      </c>
      <c r="CK51" s="56">
        <f>RPI_nov12</f>
        <v>245.6</v>
      </c>
      <c r="CL51" s="28">
        <f t="shared" ref="CL51:CL84" si="97">coupon*CK51/RPI_base</f>
        <v>3.7494448556624724</v>
      </c>
      <c r="CM51" s="28">
        <f t="shared" si="77"/>
        <v>0.98924115382380051</v>
      </c>
      <c r="CN51" s="29">
        <f>CL51*CM51</f>
        <v>3.7091051552142575</v>
      </c>
      <c r="CO51" s="33"/>
      <c r="CP51" s="27">
        <v>0.5</v>
      </c>
      <c r="CQ51" s="30">
        <f t="shared" ref="CQ51:CQ85" si="98" xml:space="preserve"> DATE(YEAR(CQ50), MONTH(CQ50)+6, DAY(CQ50))</f>
        <v>41477</v>
      </c>
      <c r="CR51" s="26">
        <f t="shared" si="78"/>
        <v>41235</v>
      </c>
      <c r="CS51" s="55">
        <v>-1</v>
      </c>
      <c r="CT51" s="56">
        <f>RPI_nov12</f>
        <v>245.6</v>
      </c>
      <c r="CU51" s="28">
        <f t="shared" ref="CU51:CU84" si="99">coupon*CT51/RPI_base</f>
        <v>3.7494448556624724</v>
      </c>
      <c r="CV51" s="28">
        <f t="shared" si="79"/>
        <v>0.98924115382380051</v>
      </c>
      <c r="CW51" s="29">
        <f>CU51*CV51</f>
        <v>3.7091051552142575</v>
      </c>
      <c r="CX51" s="33"/>
      <c r="CY51" s="33"/>
    </row>
    <row r="52" spans="1:103" ht="15.5" x14ac:dyDescent="0.35">
      <c r="A52" s="16"/>
      <c r="B52" s="16"/>
      <c r="C52" s="16"/>
      <c r="D52" s="16"/>
      <c r="E52" s="16"/>
      <c r="F52" s="16"/>
      <c r="G52" s="16"/>
      <c r="H52" s="16"/>
      <c r="I52" s="16"/>
      <c r="J52" s="16"/>
      <c r="K52" s="16"/>
      <c r="L52" s="16"/>
      <c r="M52" s="27">
        <v>1</v>
      </c>
      <c r="N52" s="30">
        <f t="shared" si="80"/>
        <v>41661</v>
      </c>
      <c r="O52" s="26">
        <f t="shared" si="60"/>
        <v>41416</v>
      </c>
      <c r="P52" s="55">
        <v>5</v>
      </c>
      <c r="Q52" s="56">
        <f t="shared" ref="Q52:Q85" ca="1" si="100">RPI_last*(q_11)^(P52/12)</f>
        <v>252.02033233729534</v>
      </c>
      <c r="R52" s="28">
        <f t="shared" ca="1" si="81"/>
        <v>3.8474606620701088</v>
      </c>
      <c r="S52" s="28">
        <f t="shared" si="61"/>
        <v>0.97859806041864417</v>
      </c>
      <c r="T52" s="29">
        <f t="shared" ref="T52:T85" ca="1" si="101">R52*S52</f>
        <v>3.7651175414388409</v>
      </c>
      <c r="U52" s="16"/>
      <c r="V52" s="27">
        <v>1</v>
      </c>
      <c r="W52" s="30">
        <f t="shared" si="82"/>
        <v>41661</v>
      </c>
      <c r="X52" s="26">
        <f t="shared" si="62"/>
        <v>41416</v>
      </c>
      <c r="Y52" s="55">
        <v>5</v>
      </c>
      <c r="Z52" s="56">
        <f t="shared" ref="Z52:Z85" ca="1" si="102">RPI_last*(q_12)^(Y52/12)</f>
        <v>251.0314526757335</v>
      </c>
      <c r="AA52" s="28">
        <f t="shared" ca="1" si="83"/>
        <v>3.8323639610932667</v>
      </c>
      <c r="AB52" s="28">
        <f t="shared" si="63"/>
        <v>0.97859806041864417</v>
      </c>
      <c r="AC52" s="29">
        <f t="shared" ref="AC52:AC85" ca="1" si="103">AA52*AB52</f>
        <v>3.7503439391441833</v>
      </c>
      <c r="AD52" s="16"/>
      <c r="AE52" s="27">
        <v>1</v>
      </c>
      <c r="AF52" s="30">
        <f t="shared" si="84"/>
        <v>41661</v>
      </c>
      <c r="AG52" s="26">
        <f t="shared" si="64"/>
        <v>41416</v>
      </c>
      <c r="AH52" s="55">
        <v>5</v>
      </c>
      <c r="AI52" s="56">
        <f t="shared" ref="AI52:AI85" ca="1" si="104">RPI_last*(q_13)^(AH52/12)</f>
        <v>252.01845301252447</v>
      </c>
      <c r="AJ52" s="28">
        <f t="shared" ca="1" si="85"/>
        <v>3.8474319714162237</v>
      </c>
      <c r="AK52" s="28">
        <f t="shared" si="65"/>
        <v>0.97859806041864417</v>
      </c>
      <c r="AL52" s="29">
        <f t="shared" ref="AL52:AL85" ca="1" si="105">AJ52*AK52</f>
        <v>3.7650894648205968</v>
      </c>
      <c r="AM52" s="33"/>
      <c r="AN52" s="27">
        <v>1</v>
      </c>
      <c r="AO52" s="30">
        <f t="shared" si="86"/>
        <v>41661</v>
      </c>
      <c r="AP52" s="26">
        <f t="shared" si="66"/>
        <v>41416</v>
      </c>
      <c r="AQ52" s="55">
        <v>5</v>
      </c>
      <c r="AR52" s="56">
        <f t="shared" ref="AR52:AR85" ca="1" si="106">RPI_last*(q_14)^(AQ52/12)</f>
        <v>250.35862286105052</v>
      </c>
      <c r="AS52" s="28">
        <f t="shared" ca="1" si="87"/>
        <v>3.8220922253953864</v>
      </c>
      <c r="AT52" s="28">
        <f t="shared" si="67"/>
        <v>0.97859806041864417</v>
      </c>
      <c r="AU52" s="29">
        <f t="shared" ref="AU52:AU85" ca="1" si="107">AS52*AT52</f>
        <v>3.7402920385131044</v>
      </c>
      <c r="AV52" s="33"/>
      <c r="AW52" s="27">
        <v>1</v>
      </c>
      <c r="AX52" s="30">
        <f t="shared" si="88"/>
        <v>41661</v>
      </c>
      <c r="AY52" s="26">
        <f t="shared" si="68"/>
        <v>41416</v>
      </c>
      <c r="AZ52" s="55">
        <v>5</v>
      </c>
      <c r="BA52" s="56">
        <f t="shared" ref="BA52:BA85" ca="1" si="108">RPI_last*(q_15)^(AZ52/12)</f>
        <v>253.20994947338392</v>
      </c>
      <c r="BB52" s="28">
        <f t="shared" ca="1" si="89"/>
        <v>3.865621915535562</v>
      </c>
      <c r="BC52" s="28">
        <f t="shared" si="69"/>
        <v>0.97859806041864417</v>
      </c>
      <c r="BD52" s="29">
        <f t="shared" ref="BD52:BD85" ca="1" si="109">BB52*BC52</f>
        <v>3.7828901088549047</v>
      </c>
      <c r="BE52" s="33"/>
      <c r="BF52" s="27">
        <v>1</v>
      </c>
      <c r="BG52" s="30">
        <f t="shared" si="90"/>
        <v>41661</v>
      </c>
      <c r="BH52" s="26">
        <f t="shared" si="70"/>
        <v>41416</v>
      </c>
      <c r="BI52" s="55">
        <v>5</v>
      </c>
      <c r="BJ52" s="56">
        <f t="shared" ref="BJ52:BJ85" ca="1" si="110">RPI_last*(q_16)^(BI52/12)</f>
        <v>251.1406642408038</v>
      </c>
      <c r="BK52" s="28">
        <f t="shared" ca="1" si="91"/>
        <v>3.8340312360966533</v>
      </c>
      <c r="BL52" s="28">
        <f t="shared" si="71"/>
        <v>0.97859806041864417</v>
      </c>
      <c r="BM52" s="29">
        <f t="shared" ref="BM52:BM85" ca="1" si="111">BK52*BL52</f>
        <v>3.7519755312286818</v>
      </c>
      <c r="BN52" s="33"/>
      <c r="BO52" s="27">
        <v>1</v>
      </c>
      <c r="BP52" s="30">
        <f t="shared" si="92"/>
        <v>41661</v>
      </c>
      <c r="BQ52" s="26">
        <f t="shared" si="72"/>
        <v>41416</v>
      </c>
      <c r="BR52" s="55">
        <v>5</v>
      </c>
      <c r="BS52" s="56">
        <f t="shared" ref="BS52:BS85" ca="1" si="112">RPI_last*(q_17)^(BR52/12)</f>
        <v>253.22695076069363</v>
      </c>
      <c r="BT52" s="28">
        <f t="shared" ca="1" si="93"/>
        <v>3.86588146516603</v>
      </c>
      <c r="BU52" s="28">
        <f t="shared" si="73"/>
        <v>0.97859806041864417</v>
      </c>
      <c r="BV52" s="29">
        <f t="shared" ref="BV52:BV85" ca="1" si="113">BT52*BU52</f>
        <v>3.7831441036198634</v>
      </c>
      <c r="BW52" s="33"/>
      <c r="BX52" s="27">
        <v>1</v>
      </c>
      <c r="BY52" s="30">
        <f t="shared" si="94"/>
        <v>41661</v>
      </c>
      <c r="BZ52" s="26">
        <f t="shared" si="74"/>
        <v>41416</v>
      </c>
      <c r="CA52" s="55">
        <v>5</v>
      </c>
      <c r="CB52" s="56">
        <f t="shared" ref="CB52:CB85" ca="1" si="114">RPI_last*(q_18)^(CA52/12)</f>
        <v>250.52239021399882</v>
      </c>
      <c r="CC52" s="28">
        <f t="shared" ca="1" si="95"/>
        <v>3.8245923746585686</v>
      </c>
      <c r="CD52" s="28">
        <f t="shared" si="75"/>
        <v>0.97859806041864417</v>
      </c>
      <c r="CE52" s="29">
        <f t="shared" ref="CE52:CE85" ca="1" si="115">CC52*CD52</f>
        <v>3.7427386797328115</v>
      </c>
      <c r="CF52" s="33"/>
      <c r="CG52" s="27">
        <v>1</v>
      </c>
      <c r="CH52" s="30">
        <f t="shared" si="96"/>
        <v>41661</v>
      </c>
      <c r="CI52" s="26">
        <f t="shared" si="76"/>
        <v>41416</v>
      </c>
      <c r="CJ52" s="55">
        <v>5</v>
      </c>
      <c r="CK52" s="56">
        <f t="shared" ref="CK52:CK85" ca="1" si="116">RPI_last*(q_19)^(CJ52/12)</f>
        <v>246.44088122548487</v>
      </c>
      <c r="CL52" s="28">
        <f t="shared" ca="1" si="97"/>
        <v>3.7622821430611588</v>
      </c>
      <c r="CM52" s="28">
        <f t="shared" si="77"/>
        <v>0.97859806041864417</v>
      </c>
      <c r="CN52" s="29">
        <f t="shared" ref="CN52:CN85" ca="1" si="117">CL52*CM52</f>
        <v>3.6817620079473499</v>
      </c>
      <c r="CO52" s="33"/>
      <c r="CP52" s="27">
        <v>1</v>
      </c>
      <c r="CQ52" s="30">
        <f t="shared" si="98"/>
        <v>41661</v>
      </c>
      <c r="CR52" s="26">
        <f t="shared" si="78"/>
        <v>41416</v>
      </c>
      <c r="CS52" s="55">
        <v>5</v>
      </c>
      <c r="CT52" s="56">
        <f t="shared" ref="CT52:CT85" ca="1" si="118">RPI_last*(q_20)^(CS52/12)</f>
        <v>253.17039496537444</v>
      </c>
      <c r="CU52" s="28">
        <f t="shared" ca="1" si="99"/>
        <v>3.8650180578540696</v>
      </c>
      <c r="CV52" s="28">
        <f t="shared" si="79"/>
        <v>0.97859806041864417</v>
      </c>
      <c r="CW52" s="29">
        <f t="shared" ref="CW52:CW85" ca="1" si="119">CU52*CV52</f>
        <v>3.7822991748990273</v>
      </c>
      <c r="CX52" s="33"/>
      <c r="CY52" s="33"/>
    </row>
    <row r="53" spans="1:103" ht="15.5" x14ac:dyDescent="0.35">
      <c r="A53" s="16"/>
      <c r="B53" s="110" t="s">
        <v>160</v>
      </c>
      <c r="C53" s="110"/>
      <c r="D53" s="110"/>
      <c r="E53" s="110"/>
      <c r="F53" s="110"/>
      <c r="G53" s="110"/>
      <c r="H53" s="110"/>
      <c r="I53" s="110"/>
      <c r="J53" s="110"/>
      <c r="K53" s="16"/>
      <c r="L53" s="16"/>
      <c r="M53" s="27">
        <v>1.5</v>
      </c>
      <c r="N53" s="30">
        <f t="shared" si="80"/>
        <v>41842</v>
      </c>
      <c r="O53" s="26">
        <f t="shared" si="60"/>
        <v>41600</v>
      </c>
      <c r="P53" s="55">
        <v>11</v>
      </c>
      <c r="Q53" s="56">
        <f t="shared" ca="1" si="100"/>
        <v>258.43069135762244</v>
      </c>
      <c r="R53" s="28">
        <f t="shared" ca="1" si="81"/>
        <v>3.9453242111406088</v>
      </c>
      <c r="S53" s="28">
        <f t="shared" si="61"/>
        <v>0.96806947441827285</v>
      </c>
      <c r="T53" s="29">
        <f t="shared" ca="1" si="101"/>
        <v>3.819347935488576</v>
      </c>
      <c r="U53" s="16"/>
      <c r="V53" s="27">
        <v>1.5</v>
      </c>
      <c r="W53" s="30">
        <f t="shared" si="82"/>
        <v>41842</v>
      </c>
      <c r="X53" s="26">
        <f t="shared" si="62"/>
        <v>41600</v>
      </c>
      <c r="Y53" s="55">
        <v>11</v>
      </c>
      <c r="Z53" s="56">
        <f t="shared" ca="1" si="102"/>
        <v>256.20507018199424</v>
      </c>
      <c r="AA53" s="28">
        <f t="shared" ca="1" si="83"/>
        <v>3.9113468338294828</v>
      </c>
      <c r="AB53" s="28">
        <f t="shared" si="63"/>
        <v>0.96806947441827285</v>
      </c>
      <c r="AC53" s="29">
        <f t="shared" ca="1" si="103"/>
        <v>3.7864554736928828</v>
      </c>
      <c r="AD53" s="16"/>
      <c r="AE53" s="27">
        <v>1.5</v>
      </c>
      <c r="AF53" s="30">
        <f t="shared" si="84"/>
        <v>41842</v>
      </c>
      <c r="AG53" s="26">
        <f t="shared" si="64"/>
        <v>41600</v>
      </c>
      <c r="AH53" s="55">
        <v>11</v>
      </c>
      <c r="AI53" s="56">
        <f t="shared" ca="1" si="104"/>
        <v>258.42645169707959</v>
      </c>
      <c r="AJ53" s="28">
        <f t="shared" ca="1" si="85"/>
        <v>3.9452594864931658</v>
      </c>
      <c r="AK53" s="28">
        <f t="shared" si="65"/>
        <v>0.96806947441827285</v>
      </c>
      <c r="AL53" s="29">
        <f t="shared" ca="1" si="105"/>
        <v>3.8192852775331438</v>
      </c>
      <c r="AM53" s="33"/>
      <c r="AN53" s="27">
        <v>1.5</v>
      </c>
      <c r="AO53" s="30">
        <f t="shared" si="86"/>
        <v>41842</v>
      </c>
      <c r="AP53" s="26">
        <f t="shared" si="66"/>
        <v>41600</v>
      </c>
      <c r="AQ53" s="55">
        <v>11</v>
      </c>
      <c r="AR53" s="56">
        <f t="shared" ca="1" si="106"/>
        <v>254.69676702972009</v>
      </c>
      <c r="AS53" s="28">
        <f t="shared" ca="1" si="87"/>
        <v>3.8883203700873259</v>
      </c>
      <c r="AT53" s="28">
        <f t="shared" si="67"/>
        <v>0.96806947441827285</v>
      </c>
      <c r="AU53" s="29">
        <f t="shared" ca="1" si="107"/>
        <v>3.7641642570403016</v>
      </c>
      <c r="AV53" s="33"/>
      <c r="AW53" s="27">
        <v>1.5</v>
      </c>
      <c r="AX53" s="30">
        <f t="shared" si="88"/>
        <v>41842</v>
      </c>
      <c r="AY53" s="26">
        <f t="shared" si="68"/>
        <v>41600</v>
      </c>
      <c r="AZ53" s="55">
        <v>11</v>
      </c>
      <c r="BA53" s="56">
        <f t="shared" ca="1" si="108"/>
        <v>261.12202199139494</v>
      </c>
      <c r="BB53" s="28">
        <f t="shared" ca="1" si="89"/>
        <v>3.9864113275888391</v>
      </c>
      <c r="BC53" s="28">
        <f t="shared" si="69"/>
        <v>0.96806947441827285</v>
      </c>
      <c r="BD53" s="29">
        <f t="shared" ca="1" si="109"/>
        <v>3.8591231187139767</v>
      </c>
      <c r="BE53" s="33"/>
      <c r="BF53" s="27">
        <v>1.5</v>
      </c>
      <c r="BG53" s="30">
        <f t="shared" si="90"/>
        <v>41842</v>
      </c>
      <c r="BH53" s="26">
        <f t="shared" si="70"/>
        <v>41600</v>
      </c>
      <c r="BI53" s="55">
        <v>11</v>
      </c>
      <c r="BJ53" s="56">
        <f t="shared" ca="1" si="110"/>
        <v>256.45035137232554</v>
      </c>
      <c r="BK53" s="28">
        <f t="shared" ca="1" si="91"/>
        <v>3.9150914115871309</v>
      </c>
      <c r="BL53" s="28">
        <f t="shared" si="71"/>
        <v>0.96806947441827285</v>
      </c>
      <c r="BM53" s="29">
        <f t="shared" ca="1" si="111"/>
        <v>3.7900804851146477</v>
      </c>
      <c r="BN53" s="33"/>
      <c r="BO53" s="27">
        <v>1.5</v>
      </c>
      <c r="BP53" s="30">
        <f t="shared" si="92"/>
        <v>41842</v>
      </c>
      <c r="BQ53" s="26">
        <f t="shared" si="72"/>
        <v>41600</v>
      </c>
      <c r="BR53" s="55">
        <v>11</v>
      </c>
      <c r="BS53" s="56">
        <f t="shared" ca="1" si="112"/>
        <v>261.16059510680014</v>
      </c>
      <c r="BT53" s="28">
        <f t="shared" ca="1" si="93"/>
        <v>3.9870002028702833</v>
      </c>
      <c r="BU53" s="28">
        <f t="shared" si="73"/>
        <v>0.96806947441827285</v>
      </c>
      <c r="BV53" s="29">
        <f t="shared" ca="1" si="113"/>
        <v>3.8596931908981822</v>
      </c>
      <c r="BW53" s="33"/>
      <c r="BX53" s="27">
        <v>1.5</v>
      </c>
      <c r="BY53" s="30">
        <f t="shared" si="94"/>
        <v>41842</v>
      </c>
      <c r="BZ53" s="26">
        <f t="shared" si="74"/>
        <v>41600</v>
      </c>
      <c r="CA53" s="55">
        <v>11</v>
      </c>
      <c r="CB53" s="56">
        <f t="shared" ca="1" si="114"/>
        <v>255.06344204084232</v>
      </c>
      <c r="CC53" s="28">
        <f t="shared" ca="1" si="95"/>
        <v>3.8939182028811046</v>
      </c>
      <c r="CD53" s="28">
        <f t="shared" si="75"/>
        <v>0.96806947441827285</v>
      </c>
      <c r="CE53" s="29">
        <f t="shared" ca="1" si="115"/>
        <v>3.7695833480908565</v>
      </c>
      <c r="CF53" s="33"/>
      <c r="CG53" s="27">
        <v>1.5</v>
      </c>
      <c r="CH53" s="30">
        <f t="shared" si="96"/>
        <v>41842</v>
      </c>
      <c r="CI53" s="26">
        <f t="shared" si="76"/>
        <v>41600</v>
      </c>
      <c r="CJ53" s="55">
        <v>11</v>
      </c>
      <c r="CK53" s="56">
        <f t="shared" ca="1" si="116"/>
        <v>246.0106284002384</v>
      </c>
      <c r="CL53" s="28">
        <f t="shared" ca="1" si="97"/>
        <v>3.7557137015210342</v>
      </c>
      <c r="CM53" s="28">
        <f t="shared" si="77"/>
        <v>0.96806947441827285</v>
      </c>
      <c r="CN53" s="29">
        <f t="shared" ca="1" si="117"/>
        <v>3.6357917890969738</v>
      </c>
      <c r="CO53" s="33"/>
      <c r="CP53" s="27">
        <v>1.5</v>
      </c>
      <c r="CQ53" s="30">
        <f t="shared" si="98"/>
        <v>41842</v>
      </c>
      <c r="CR53" s="26">
        <f t="shared" si="78"/>
        <v>41600</v>
      </c>
      <c r="CS53" s="55">
        <v>11</v>
      </c>
      <c r="CT53" s="56">
        <f t="shared" ca="1" si="118"/>
        <v>261.03229136603022</v>
      </c>
      <c r="CU53" s="28">
        <f t="shared" ca="1" si="99"/>
        <v>3.9850414577530526</v>
      </c>
      <c r="CV53" s="28">
        <f t="shared" si="79"/>
        <v>0.96806947441827285</v>
      </c>
      <c r="CW53" s="29">
        <f t="shared" ca="1" si="119"/>
        <v>3.8577969895420257</v>
      </c>
      <c r="CX53" s="33"/>
      <c r="CY53" s="33"/>
    </row>
    <row r="54" spans="1:103" ht="15.5" x14ac:dyDescent="0.35">
      <c r="A54" s="16"/>
      <c r="B54" s="122" t="s">
        <v>161</v>
      </c>
      <c r="C54" s="122"/>
      <c r="D54" s="122"/>
      <c r="E54" s="122"/>
      <c r="F54" s="122"/>
      <c r="G54" s="122"/>
      <c r="H54" s="122"/>
      <c r="I54" s="122"/>
      <c r="J54" s="122"/>
      <c r="K54" s="16"/>
      <c r="L54" s="16"/>
      <c r="M54" s="27">
        <v>2</v>
      </c>
      <c r="N54" s="30">
        <f t="shared" si="80"/>
        <v>42026</v>
      </c>
      <c r="O54" s="26">
        <f t="shared" si="60"/>
        <v>41781</v>
      </c>
      <c r="P54" s="55">
        <v>17</v>
      </c>
      <c r="Q54" s="56">
        <f t="shared" ca="1" si="100"/>
        <v>265.00410350302224</v>
      </c>
      <c r="R54" s="28">
        <f t="shared" ca="1" si="81"/>
        <v>4.0456770057363691</v>
      </c>
      <c r="S54" s="28">
        <f t="shared" si="61"/>
        <v>0.95765416385513247</v>
      </c>
      <c r="T54" s="29">
        <f t="shared" ca="1" si="101"/>
        <v>3.8743594301563986</v>
      </c>
      <c r="U54" s="16"/>
      <c r="V54" s="27">
        <v>2</v>
      </c>
      <c r="W54" s="30">
        <f t="shared" si="82"/>
        <v>42026</v>
      </c>
      <c r="X54" s="26">
        <f t="shared" si="62"/>
        <v>41781</v>
      </c>
      <c r="Y54" s="55">
        <v>17</v>
      </c>
      <c r="Z54" s="56">
        <f t="shared" ca="1" si="102"/>
        <v>261.48531304462284</v>
      </c>
      <c r="AA54" s="28">
        <f t="shared" ca="1" si="83"/>
        <v>3.9919574992933726</v>
      </c>
      <c r="AB54" s="28">
        <f t="shared" si="63"/>
        <v>0.95765416385513247</v>
      </c>
      <c r="AC54" s="29">
        <f t="shared" ca="1" si="103"/>
        <v>3.8229147211310202</v>
      </c>
      <c r="AD54" s="16"/>
      <c r="AE54" s="27">
        <v>2</v>
      </c>
      <c r="AF54" s="30">
        <f t="shared" si="84"/>
        <v>42026</v>
      </c>
      <c r="AG54" s="26">
        <f t="shared" si="64"/>
        <v>41781</v>
      </c>
      <c r="AH54" s="55">
        <v>17</v>
      </c>
      <c r="AI54" s="56">
        <f t="shared" ca="1" si="104"/>
        <v>264.99738466938396</v>
      </c>
      <c r="AJ54" s="28">
        <f t="shared" ca="1" si="85"/>
        <v>4.0455744328690191</v>
      </c>
      <c r="AK54" s="28">
        <f t="shared" si="65"/>
        <v>0.95765416385513247</v>
      </c>
      <c r="AL54" s="29">
        <f t="shared" ca="1" si="105"/>
        <v>3.8742612008228821</v>
      </c>
      <c r="AM54" s="33"/>
      <c r="AN54" s="27">
        <v>2</v>
      </c>
      <c r="AO54" s="30">
        <f t="shared" si="86"/>
        <v>42026</v>
      </c>
      <c r="AP54" s="26">
        <f t="shared" si="66"/>
        <v>41781</v>
      </c>
      <c r="AQ54" s="55">
        <v>17</v>
      </c>
      <c r="AR54" s="56">
        <f t="shared" ca="1" si="106"/>
        <v>259.11008134676769</v>
      </c>
      <c r="AS54" s="28">
        <f t="shared" ca="1" si="87"/>
        <v>3.9556960975404025</v>
      </c>
      <c r="AT54" s="28">
        <f t="shared" si="67"/>
        <v>0.95765416385513247</v>
      </c>
      <c r="AU54" s="29">
        <f t="shared" ca="1" si="107"/>
        <v>3.7881888387550648</v>
      </c>
      <c r="AV54" s="33"/>
      <c r="AW54" s="27">
        <v>2</v>
      </c>
      <c r="AX54" s="30">
        <f t="shared" si="88"/>
        <v>42026</v>
      </c>
      <c r="AY54" s="26">
        <f t="shared" si="68"/>
        <v>41781</v>
      </c>
      <c r="AZ54" s="55">
        <v>17</v>
      </c>
      <c r="BA54" s="56">
        <f t="shared" ca="1" si="108"/>
        <v>269.28132370265234</v>
      </c>
      <c r="BB54" s="28">
        <f t="shared" ca="1" si="89"/>
        <v>4.1109750565264287</v>
      </c>
      <c r="BC54" s="28">
        <f t="shared" si="69"/>
        <v>0.95765416385513247</v>
      </c>
      <c r="BD54" s="29">
        <f t="shared" ca="1" si="109"/>
        <v>3.936892380387123</v>
      </c>
      <c r="BE54" s="33"/>
      <c r="BF54" s="27">
        <v>2</v>
      </c>
      <c r="BG54" s="30">
        <f t="shared" si="90"/>
        <v>42026</v>
      </c>
      <c r="BH54" s="26">
        <f t="shared" si="70"/>
        <v>41781</v>
      </c>
      <c r="BI54" s="55">
        <v>17</v>
      </c>
      <c r="BJ54" s="56">
        <f t="shared" ca="1" si="110"/>
        <v>261.87229741468462</v>
      </c>
      <c r="BK54" s="28">
        <f t="shared" ca="1" si="91"/>
        <v>3.9978653842915399</v>
      </c>
      <c r="BL54" s="28">
        <f t="shared" si="71"/>
        <v>0.95765416385513247</v>
      </c>
      <c r="BM54" s="29">
        <f t="shared" ca="1" si="111"/>
        <v>3.8285724317990923</v>
      </c>
      <c r="BN54" s="33"/>
      <c r="BO54" s="27">
        <v>2</v>
      </c>
      <c r="BP54" s="30">
        <f t="shared" si="92"/>
        <v>42026</v>
      </c>
      <c r="BQ54" s="26">
        <f t="shared" si="72"/>
        <v>41781</v>
      </c>
      <c r="BR54" s="55">
        <v>17</v>
      </c>
      <c r="BS54" s="56">
        <f t="shared" ca="1" si="112"/>
        <v>269.34280190813274</v>
      </c>
      <c r="BT54" s="28">
        <f t="shared" ca="1" si="93"/>
        <v>4.1119136116619082</v>
      </c>
      <c r="BU54" s="28">
        <f t="shared" si="73"/>
        <v>0.95765416385513247</v>
      </c>
      <c r="BV54" s="29">
        <f t="shared" ca="1" si="113"/>
        <v>3.9377911916206227</v>
      </c>
      <c r="BW54" s="33"/>
      <c r="BX54" s="27">
        <v>2</v>
      </c>
      <c r="BY54" s="30">
        <f t="shared" si="94"/>
        <v>42026</v>
      </c>
      <c r="BZ54" s="26">
        <f t="shared" si="74"/>
        <v>41781</v>
      </c>
      <c r="CA54" s="55">
        <v>17</v>
      </c>
      <c r="CB54" s="56">
        <f t="shared" ca="1" si="114"/>
        <v>259.68680647725523</v>
      </c>
      <c r="CC54" s="28">
        <f t="shared" ca="1" si="95"/>
        <v>3.9645006540291559</v>
      </c>
      <c r="CD54" s="28">
        <f t="shared" si="75"/>
        <v>0.95765416385513247</v>
      </c>
      <c r="CE54" s="29">
        <f t="shared" ca="1" si="115"/>
        <v>3.7966205589374171</v>
      </c>
      <c r="CF54" s="33"/>
      <c r="CG54" s="27">
        <v>2</v>
      </c>
      <c r="CH54" s="30">
        <f t="shared" si="96"/>
        <v>42026</v>
      </c>
      <c r="CI54" s="26">
        <f t="shared" si="76"/>
        <v>41781</v>
      </c>
      <c r="CJ54" s="55">
        <v>17</v>
      </c>
      <c r="CK54" s="56">
        <f t="shared" ca="1" si="116"/>
        <v>245.58112673889258</v>
      </c>
      <c r="CL54" s="28">
        <f t="shared" ca="1" si="97"/>
        <v>3.7491567276015245</v>
      </c>
      <c r="CM54" s="28">
        <f t="shared" si="77"/>
        <v>0.95765416385513247</v>
      </c>
      <c r="CN54" s="29">
        <f t="shared" ca="1" si="117"/>
        <v>3.5903955511330827</v>
      </c>
      <c r="CO54" s="33"/>
      <c r="CP54" s="27">
        <v>2</v>
      </c>
      <c r="CQ54" s="30">
        <f t="shared" si="98"/>
        <v>42026</v>
      </c>
      <c r="CR54" s="26">
        <f t="shared" si="78"/>
        <v>41781</v>
      </c>
      <c r="CS54" s="55">
        <v>17</v>
      </c>
      <c r="CT54" s="56">
        <f t="shared" ca="1" si="118"/>
        <v>269.13832932606192</v>
      </c>
      <c r="CU54" s="28">
        <f t="shared" ca="1" si="99"/>
        <v>4.1087920372687101</v>
      </c>
      <c r="CV54" s="28">
        <f t="shared" si="79"/>
        <v>0.95765416385513247</v>
      </c>
      <c r="CW54" s="29">
        <f t="shared" ca="1" si="119"/>
        <v>3.9348018029051928</v>
      </c>
      <c r="CX54" s="33"/>
      <c r="CY54" s="33"/>
    </row>
    <row r="55" spans="1:103" ht="15.5" x14ac:dyDescent="0.35">
      <c r="A55" s="16"/>
      <c r="B55" s="121" t="s">
        <v>162</v>
      </c>
      <c r="C55" s="121"/>
      <c r="D55" s="121"/>
      <c r="E55" s="121"/>
      <c r="F55" s="121"/>
      <c r="G55" s="121"/>
      <c r="H55" s="121"/>
      <c r="I55" s="121"/>
      <c r="J55" s="121"/>
      <c r="K55" s="16"/>
      <c r="L55" s="16"/>
      <c r="M55" s="27">
        <v>2.5</v>
      </c>
      <c r="N55" s="30">
        <f t="shared" si="80"/>
        <v>42207</v>
      </c>
      <c r="O55" s="26">
        <f t="shared" si="60"/>
        <v>41965</v>
      </c>
      <c r="P55" s="55">
        <v>23</v>
      </c>
      <c r="Q55" s="56">
        <f t="shared" ca="1" si="100"/>
        <v>271.74471617327572</v>
      </c>
      <c r="R55" s="28">
        <f t="shared" ca="1" si="81"/>
        <v>4.1485823620087432</v>
      </c>
      <c r="S55" s="28">
        <f t="shared" si="61"/>
        <v>0.94735091001621818</v>
      </c>
      <c r="T55" s="29">
        <f t="shared" ca="1" si="101"/>
        <v>3.9301632759262146</v>
      </c>
      <c r="U55" s="16"/>
      <c r="V55" s="27">
        <v>2.5</v>
      </c>
      <c r="W55" s="30">
        <f t="shared" si="82"/>
        <v>42207</v>
      </c>
      <c r="X55" s="26">
        <f t="shared" si="62"/>
        <v>41965</v>
      </c>
      <c r="Y55" s="55">
        <v>23</v>
      </c>
      <c r="Z55" s="56">
        <f t="shared" ca="1" si="102"/>
        <v>266.87437875243768</v>
      </c>
      <c r="AA55" s="28">
        <f t="shared" ca="1" si="83"/>
        <v>4.0742295053804796</v>
      </c>
      <c r="AB55" s="28">
        <f t="shared" si="63"/>
        <v>0.94735091001621818</v>
      </c>
      <c r="AC55" s="29">
        <f t="shared" ca="1" si="103"/>
        <v>3.8597250295371239</v>
      </c>
      <c r="AD55" s="16"/>
      <c r="AE55" s="27">
        <v>2.5</v>
      </c>
      <c r="AF55" s="30">
        <f t="shared" si="84"/>
        <v>42207</v>
      </c>
      <c r="AG55" s="26">
        <f t="shared" si="64"/>
        <v>41965</v>
      </c>
      <c r="AH55" s="55">
        <v>23</v>
      </c>
      <c r="AI55" s="56">
        <f t="shared" ca="1" si="104"/>
        <v>271.73539481139358</v>
      </c>
      <c r="AJ55" s="28">
        <f t="shared" ca="1" si="85"/>
        <v>4.1484400577239029</v>
      </c>
      <c r="AK55" s="28">
        <f t="shared" si="65"/>
        <v>0.94735091001621818</v>
      </c>
      <c r="AL55" s="29">
        <f t="shared" ca="1" si="105"/>
        <v>3.9300284638324721</v>
      </c>
      <c r="AM55" s="33"/>
      <c r="AN55" s="27">
        <v>2.5</v>
      </c>
      <c r="AO55" s="30">
        <f t="shared" si="86"/>
        <v>42207</v>
      </c>
      <c r="AP55" s="26">
        <f t="shared" si="66"/>
        <v>41965</v>
      </c>
      <c r="AQ55" s="55">
        <v>23</v>
      </c>
      <c r="AR55" s="56">
        <f t="shared" ca="1" si="106"/>
        <v>263.59986833949228</v>
      </c>
      <c r="AS55" s="28">
        <f t="shared" ca="1" si="87"/>
        <v>4.0242392927476152</v>
      </c>
      <c r="AT55" s="28">
        <f t="shared" si="67"/>
        <v>0.94735091001621818</v>
      </c>
      <c r="AU55" s="29">
        <f t="shared" ca="1" si="107"/>
        <v>3.8123667561074757</v>
      </c>
      <c r="AV55" s="33"/>
      <c r="AW55" s="27">
        <v>2.5</v>
      </c>
      <c r="AX55" s="30">
        <f t="shared" si="88"/>
        <v>42207</v>
      </c>
      <c r="AY55" s="26">
        <f t="shared" si="68"/>
        <v>41965</v>
      </c>
      <c r="AZ55" s="55">
        <v>23</v>
      </c>
      <c r="BA55" s="56">
        <f t="shared" ca="1" si="108"/>
        <v>277.69557979848304</v>
      </c>
      <c r="BB55" s="28">
        <f t="shared" ca="1" si="89"/>
        <v>4.2394310387444207</v>
      </c>
      <c r="BC55" s="28">
        <f t="shared" si="69"/>
        <v>0.94735091001621818</v>
      </c>
      <c r="BD55" s="29">
        <f t="shared" ca="1" si="109"/>
        <v>4.0162288525055283</v>
      </c>
      <c r="BE55" s="33"/>
      <c r="BF55" s="27">
        <v>2.5</v>
      </c>
      <c r="BG55" s="30">
        <f t="shared" si="90"/>
        <v>42207</v>
      </c>
      <c r="BH55" s="26">
        <f t="shared" si="70"/>
        <v>41965</v>
      </c>
      <c r="BI55" s="55">
        <v>23</v>
      </c>
      <c r="BJ55" s="56">
        <f t="shared" ca="1" si="110"/>
        <v>267.40887577760378</v>
      </c>
      <c r="BK55" s="28">
        <f t="shared" ca="1" si="91"/>
        <v>4.0823893877965052</v>
      </c>
      <c r="BL55" s="28">
        <f t="shared" si="71"/>
        <v>0.94735091001621818</v>
      </c>
      <c r="BM55" s="29">
        <f t="shared" ca="1" si="111"/>
        <v>3.8674553015695712</v>
      </c>
      <c r="BN55" s="33"/>
      <c r="BO55" s="27">
        <v>2.5</v>
      </c>
      <c r="BP55" s="30">
        <f t="shared" si="92"/>
        <v>42207</v>
      </c>
      <c r="BQ55" s="26">
        <f t="shared" si="72"/>
        <v>41965</v>
      </c>
      <c r="BR55" s="55">
        <v>23</v>
      </c>
      <c r="BS55" s="56">
        <f t="shared" ca="1" si="112"/>
        <v>277.78135866958246</v>
      </c>
      <c r="BT55" s="28">
        <f t="shared" ca="1" si="93"/>
        <v>4.2407405792451067</v>
      </c>
      <c r="BU55" s="28">
        <f t="shared" si="73"/>
        <v>0.94735091001621818</v>
      </c>
      <c r="BV55" s="29">
        <f t="shared" ca="1" si="113"/>
        <v>4.0174694468905559</v>
      </c>
      <c r="BW55" s="33"/>
      <c r="BX55" s="27">
        <v>2.5</v>
      </c>
      <c r="BY55" s="30">
        <f t="shared" si="94"/>
        <v>42207</v>
      </c>
      <c r="BZ55" s="26">
        <f t="shared" si="74"/>
        <v>41965</v>
      </c>
      <c r="CA55" s="55">
        <v>23</v>
      </c>
      <c r="CB55" s="56">
        <f t="shared" ca="1" si="114"/>
        <v>264.39397554886341</v>
      </c>
      <c r="CC55" s="28">
        <f t="shared" ca="1" si="95"/>
        <v>4.036362506066105</v>
      </c>
      <c r="CD55" s="28">
        <f t="shared" si="75"/>
        <v>0.94735091001621818</v>
      </c>
      <c r="CE55" s="29">
        <f t="shared" ca="1" si="115"/>
        <v>3.8238516932770676</v>
      </c>
      <c r="CF55" s="33"/>
      <c r="CG55" s="27">
        <v>2.5</v>
      </c>
      <c r="CH55" s="30">
        <f t="shared" si="96"/>
        <v>42207</v>
      </c>
      <c r="CI55" s="26">
        <f t="shared" si="76"/>
        <v>41965</v>
      </c>
      <c r="CJ55" s="55">
        <v>23</v>
      </c>
      <c r="CK55" s="56">
        <f t="shared" ca="1" si="116"/>
        <v>245.15237493001575</v>
      </c>
      <c r="CL55" s="28">
        <f t="shared" ca="1" si="97"/>
        <v>3.742611201281699</v>
      </c>
      <c r="CM55" s="28">
        <f t="shared" si="77"/>
        <v>0.94735091001621818</v>
      </c>
      <c r="CN55" s="29">
        <f t="shared" ca="1" si="117"/>
        <v>3.5455661273711092</v>
      </c>
      <c r="CO55" s="33"/>
      <c r="CP55" s="27">
        <v>2.5</v>
      </c>
      <c r="CQ55" s="30">
        <f t="shared" si="98"/>
        <v>42207</v>
      </c>
      <c r="CR55" s="26">
        <f t="shared" si="78"/>
        <v>41965</v>
      </c>
      <c r="CS55" s="55">
        <v>23</v>
      </c>
      <c r="CT55" s="56">
        <f t="shared" ca="1" si="118"/>
        <v>277.49609036244408</v>
      </c>
      <c r="CU55" s="28">
        <f t="shared" ca="1" si="99"/>
        <v>4.2363855393970455</v>
      </c>
      <c r="CV55" s="28">
        <f t="shared" si="79"/>
        <v>0.94735091001621818</v>
      </c>
      <c r="CW55" s="29">
        <f t="shared" ca="1" si="119"/>
        <v>4.0133436959273388</v>
      </c>
      <c r="CX55" s="33"/>
      <c r="CY55" s="33"/>
    </row>
    <row r="56" spans="1:103" ht="15.5" x14ac:dyDescent="0.35">
      <c r="A56" s="16"/>
      <c r="B56" s="16"/>
      <c r="C56" s="16"/>
      <c r="D56" s="16"/>
      <c r="E56" s="16"/>
      <c r="F56" s="16"/>
      <c r="G56" s="16"/>
      <c r="H56" s="16"/>
      <c r="I56" s="16"/>
      <c r="J56" s="16"/>
      <c r="K56" s="16"/>
      <c r="L56" s="16"/>
      <c r="M56" s="27">
        <v>3</v>
      </c>
      <c r="N56" s="30">
        <f t="shared" si="80"/>
        <v>42391</v>
      </c>
      <c r="O56" s="26">
        <f t="shared" si="60"/>
        <v>42146</v>
      </c>
      <c r="P56" s="55">
        <v>29</v>
      </c>
      <c r="Q56" s="56">
        <f t="shared" ca="1" si="100"/>
        <v>278.65678226092837</v>
      </c>
      <c r="R56" s="28">
        <f t="shared" ca="1" si="81"/>
        <v>4.254105206611138</v>
      </c>
      <c r="S56" s="28">
        <f t="shared" si="61"/>
        <v>0.93715850730047112</v>
      </c>
      <c r="T56" s="29">
        <f t="shared" ca="1" si="101"/>
        <v>3.9867708853268562</v>
      </c>
      <c r="U56" s="16"/>
      <c r="V56" s="27">
        <v>3</v>
      </c>
      <c r="W56" s="30">
        <f t="shared" si="82"/>
        <v>42391</v>
      </c>
      <c r="X56" s="26">
        <f t="shared" si="62"/>
        <v>42146</v>
      </c>
      <c r="Y56" s="55">
        <v>29</v>
      </c>
      <c r="Z56" s="56">
        <f t="shared" ca="1" si="102"/>
        <v>272.37451008326968</v>
      </c>
      <c r="AA56" s="28">
        <f t="shared" ca="1" si="83"/>
        <v>4.1581970913896651</v>
      </c>
      <c r="AB56" s="28">
        <f t="shared" si="63"/>
        <v>0.93715850730047112</v>
      </c>
      <c r="AC56" s="29">
        <f t="shared" ca="1" si="103"/>
        <v>3.8968897792278994</v>
      </c>
      <c r="AD56" s="16"/>
      <c r="AE56" s="27">
        <v>3</v>
      </c>
      <c r="AF56" s="30">
        <f t="shared" si="84"/>
        <v>42391</v>
      </c>
      <c r="AG56" s="26">
        <f t="shared" si="64"/>
        <v>42146</v>
      </c>
      <c r="AH56" s="55">
        <v>29</v>
      </c>
      <c r="AI56" s="56">
        <f t="shared" ca="1" si="104"/>
        <v>278.6447303448989</v>
      </c>
      <c r="AJ56" s="28">
        <f t="shared" ca="1" si="85"/>
        <v>4.2539212164052849</v>
      </c>
      <c r="AK56" s="28">
        <f t="shared" si="65"/>
        <v>0.93715850730047112</v>
      </c>
      <c r="AL56" s="29">
        <f t="shared" ca="1" si="105"/>
        <v>3.9865984573401811</v>
      </c>
      <c r="AM56" s="33"/>
      <c r="AN56" s="27">
        <v>3</v>
      </c>
      <c r="AO56" s="30">
        <f t="shared" si="86"/>
        <v>42391</v>
      </c>
      <c r="AP56" s="26">
        <f t="shared" si="66"/>
        <v>42146</v>
      </c>
      <c r="AQ56" s="55">
        <v>29</v>
      </c>
      <c r="AR56" s="56">
        <f t="shared" ca="1" si="106"/>
        <v>268.16745310502159</v>
      </c>
      <c r="AS56" s="28">
        <f t="shared" ca="1" si="87"/>
        <v>4.0939701852635606</v>
      </c>
      <c r="AT56" s="28">
        <f t="shared" si="67"/>
        <v>0.93715850730047112</v>
      </c>
      <c r="AU56" s="29">
        <f t="shared" ca="1" si="107"/>
        <v>3.8366989877542315</v>
      </c>
      <c r="AV56" s="33"/>
      <c r="AW56" s="27">
        <v>3</v>
      </c>
      <c r="AX56" s="30">
        <f t="shared" si="88"/>
        <v>42391</v>
      </c>
      <c r="AY56" s="26">
        <f t="shared" si="68"/>
        <v>42146</v>
      </c>
      <c r="AZ56" s="55">
        <v>29</v>
      </c>
      <c r="BA56" s="56">
        <f t="shared" ca="1" si="108"/>
        <v>286.37275685991472</v>
      </c>
      <c r="BB56" s="28">
        <f t="shared" ca="1" si="89"/>
        <v>4.3719008958073591</v>
      </c>
      <c r="BC56" s="28">
        <f t="shared" si="69"/>
        <v>0.93715850730047112</v>
      </c>
      <c r="BD56" s="29">
        <f t="shared" ca="1" si="109"/>
        <v>4.0971641175804168</v>
      </c>
      <c r="BE56" s="33"/>
      <c r="BF56" s="27">
        <v>3</v>
      </c>
      <c r="BG56" s="30">
        <f t="shared" si="90"/>
        <v>42391</v>
      </c>
      <c r="BH56" s="26">
        <f t="shared" si="70"/>
        <v>42146</v>
      </c>
      <c r="BI56" s="55">
        <v>29</v>
      </c>
      <c r="BJ56" s="56">
        <f t="shared" ca="1" si="110"/>
        <v>273.06251005010699</v>
      </c>
      <c r="BK56" s="28">
        <f t="shared" ca="1" si="91"/>
        <v>4.1687004217494135</v>
      </c>
      <c r="BL56" s="28">
        <f t="shared" si="71"/>
        <v>0.93715850730047112</v>
      </c>
      <c r="BM56" s="29">
        <f t="shared" ca="1" si="111"/>
        <v>3.9067330646295249</v>
      </c>
      <c r="BN56" s="33"/>
      <c r="BO56" s="27">
        <v>3</v>
      </c>
      <c r="BP56" s="30">
        <f t="shared" si="92"/>
        <v>42391</v>
      </c>
      <c r="BQ56" s="26">
        <f t="shared" si="72"/>
        <v>42146</v>
      </c>
      <c r="BR56" s="55">
        <v>29</v>
      </c>
      <c r="BS56" s="56">
        <f t="shared" ca="1" si="112"/>
        <v>286.48429687992081</v>
      </c>
      <c r="BT56" s="28">
        <f t="shared" ca="1" si="93"/>
        <v>4.3736037180964962</v>
      </c>
      <c r="BU56" s="28">
        <f t="shared" si="73"/>
        <v>0.93715850730047112</v>
      </c>
      <c r="BV56" s="29">
        <f t="shared" ca="1" si="113"/>
        <v>4.0987599319751027</v>
      </c>
      <c r="BW56" s="33"/>
      <c r="BX56" s="27">
        <v>3</v>
      </c>
      <c r="BY56" s="30">
        <f t="shared" si="94"/>
        <v>42391</v>
      </c>
      <c r="BZ56" s="26">
        <f t="shared" si="74"/>
        <v>42146</v>
      </c>
      <c r="CA56" s="55">
        <v>29</v>
      </c>
      <c r="CB56" s="56">
        <f t="shared" ca="1" si="114"/>
        <v>269.18646832624347</v>
      </c>
      <c r="CC56" s="28">
        <f t="shared" ca="1" si="95"/>
        <v>4.1095269498362486</v>
      </c>
      <c r="CD56" s="28">
        <f t="shared" si="75"/>
        <v>0.93715850730047112</v>
      </c>
      <c r="CE56" s="29">
        <f t="shared" ca="1" si="115"/>
        <v>3.8512781420195967</v>
      </c>
      <c r="CF56" s="33"/>
      <c r="CG56" s="27">
        <v>3</v>
      </c>
      <c r="CH56" s="30">
        <f t="shared" si="96"/>
        <v>42391</v>
      </c>
      <c r="CI56" s="26">
        <f t="shared" si="76"/>
        <v>42146</v>
      </c>
      <c r="CJ56" s="55">
        <v>29</v>
      </c>
      <c r="CK56" s="56">
        <f t="shared" ca="1" si="116"/>
        <v>244.72437166446574</v>
      </c>
      <c r="CL56" s="28">
        <f t="shared" ca="1" si="97"/>
        <v>3.7360771025755781</v>
      </c>
      <c r="CM56" s="28">
        <f t="shared" si="77"/>
        <v>0.93715850730047112</v>
      </c>
      <c r="CN56" s="29">
        <f t="shared" ca="1" si="117"/>
        <v>3.501296440609198</v>
      </c>
      <c r="CO56" s="33"/>
      <c r="CP56" s="27">
        <v>3</v>
      </c>
      <c r="CQ56" s="30">
        <f t="shared" si="98"/>
        <v>42391</v>
      </c>
      <c r="CR56" s="26">
        <f t="shared" si="78"/>
        <v>42146</v>
      </c>
      <c r="CS56" s="55">
        <v>29</v>
      </c>
      <c r="CT56" s="56">
        <f t="shared" ca="1" si="118"/>
        <v>286.11339142687126</v>
      </c>
      <c r="CU56" s="28">
        <f t="shared" ca="1" si="99"/>
        <v>4.3679413013909851</v>
      </c>
      <c r="CV56" s="28">
        <f t="shared" si="79"/>
        <v>0.93715850730047112</v>
      </c>
      <c r="CW56" s="29">
        <f t="shared" ca="1" si="119"/>
        <v>4.0934533499876533</v>
      </c>
      <c r="CX56" s="33"/>
      <c r="CY56" s="33"/>
    </row>
    <row r="57" spans="1:103" ht="15.5" x14ac:dyDescent="0.35">
      <c r="A57" s="16"/>
      <c r="B57" s="16"/>
      <c r="C57" s="16"/>
      <c r="D57" s="16"/>
      <c r="E57" s="16"/>
      <c r="F57" s="16"/>
      <c r="G57" s="16"/>
      <c r="H57" s="16"/>
      <c r="I57" s="16"/>
      <c r="J57" s="16"/>
      <c r="K57" s="16"/>
      <c r="L57" s="16"/>
      <c r="M57" s="27">
        <v>3.5</v>
      </c>
      <c r="N57" s="30">
        <f t="shared" si="80"/>
        <v>42573</v>
      </c>
      <c r="O57" s="26">
        <f t="shared" si="60"/>
        <v>42330</v>
      </c>
      <c r="P57" s="55">
        <v>35</v>
      </c>
      <c r="Q57" s="56">
        <f t="shared" ca="1" si="100"/>
        <v>285.74466283459151</v>
      </c>
      <c r="R57" s="28">
        <f t="shared" ca="1" si="81"/>
        <v>4.3623121176635458</v>
      </c>
      <c r="S57" s="28">
        <f t="shared" si="61"/>
        <v>0.92707576307770856</v>
      </c>
      <c r="T57" s="29">
        <f t="shared" ca="1" si="101"/>
        <v>4.044193835266066</v>
      </c>
      <c r="U57" s="16"/>
      <c r="V57" s="27">
        <v>3.5</v>
      </c>
      <c r="W57" s="30">
        <f t="shared" si="82"/>
        <v>42573</v>
      </c>
      <c r="X57" s="26">
        <f t="shared" si="62"/>
        <v>42330</v>
      </c>
      <c r="Y57" s="55">
        <v>35</v>
      </c>
      <c r="Z57" s="56">
        <f t="shared" ca="1" si="102"/>
        <v>277.98799603734358</v>
      </c>
      <c r="AA57" s="28">
        <f t="shared" ca="1" si="83"/>
        <v>4.2438952022725474</v>
      </c>
      <c r="AB57" s="28">
        <f t="shared" si="63"/>
        <v>0.92707576307770856</v>
      </c>
      <c r="AC57" s="29">
        <f t="shared" ca="1" si="103"/>
        <v>3.9344123830686479</v>
      </c>
      <c r="AD57" s="16"/>
      <c r="AE57" s="27">
        <v>3.5</v>
      </c>
      <c r="AF57" s="30">
        <f t="shared" si="84"/>
        <v>42573</v>
      </c>
      <c r="AG57" s="26">
        <f t="shared" si="64"/>
        <v>42330</v>
      </c>
      <c r="AH57" s="55">
        <v>35</v>
      </c>
      <c r="AI57" s="56">
        <f t="shared" ca="1" si="104"/>
        <v>285.72974750996968</v>
      </c>
      <c r="AJ57" s="28">
        <f t="shared" ca="1" si="85"/>
        <v>4.3620844133183754</v>
      </c>
      <c r="AK57" s="28">
        <f t="shared" si="65"/>
        <v>0.92707576307770856</v>
      </c>
      <c r="AL57" s="29">
        <f t="shared" ca="1" si="105"/>
        <v>4.0439827360865115</v>
      </c>
      <c r="AM57" s="33"/>
      <c r="AN57" s="27">
        <v>3.5</v>
      </c>
      <c r="AO57" s="30">
        <f t="shared" si="86"/>
        <v>42573</v>
      </c>
      <c r="AP57" s="26">
        <f t="shared" si="66"/>
        <v>42330</v>
      </c>
      <c r="AQ57" s="55">
        <v>35</v>
      </c>
      <c r="AR57" s="56">
        <f t="shared" ca="1" si="106"/>
        <v>272.81418370139568</v>
      </c>
      <c r="AS57" s="28">
        <f t="shared" ca="1" si="87"/>
        <v>4.1649093551748972</v>
      </c>
      <c r="AT57" s="28">
        <f t="shared" si="67"/>
        <v>0.92707576307770856</v>
      </c>
      <c r="AU57" s="29">
        <f t="shared" ca="1" si="107"/>
        <v>3.861186518598255</v>
      </c>
      <c r="AV57" s="33"/>
      <c r="AW57" s="27">
        <v>3.5</v>
      </c>
      <c r="AX57" s="30">
        <f t="shared" si="88"/>
        <v>42573</v>
      </c>
      <c r="AY57" s="26">
        <f t="shared" si="68"/>
        <v>42330</v>
      </c>
      <c r="AZ57" s="55">
        <v>35</v>
      </c>
      <c r="BA57" s="56">
        <f t="shared" ca="1" si="108"/>
        <v>295.3210704004004</v>
      </c>
      <c r="BB57" s="28">
        <f t="shared" ca="1" si="89"/>
        <v>4.5085100495990069</v>
      </c>
      <c r="BC57" s="28">
        <f t="shared" si="69"/>
        <v>0.92707576307770856</v>
      </c>
      <c r="BD57" s="29">
        <f t="shared" ca="1" si="109"/>
        <v>4.1797303945755173</v>
      </c>
      <c r="BE57" s="33"/>
      <c r="BF57" s="27">
        <v>3.5</v>
      </c>
      <c r="BG57" s="30">
        <f t="shared" si="90"/>
        <v>42573</v>
      </c>
      <c r="BH57" s="26">
        <f t="shared" si="70"/>
        <v>42330</v>
      </c>
      <c r="BI57" s="55">
        <v>35</v>
      </c>
      <c r="BJ57" s="56">
        <f t="shared" ca="1" si="110"/>
        <v>278.83567506142464</v>
      </c>
      <c r="BK57" s="28">
        <f t="shared" ca="1" si="91"/>
        <v>4.2568362680546876</v>
      </c>
      <c r="BL57" s="28">
        <f t="shared" si="71"/>
        <v>0.92707576307770856</v>
      </c>
      <c r="BM57" s="29">
        <f t="shared" ca="1" si="111"/>
        <v>3.9464097315036648</v>
      </c>
      <c r="BN57" s="33"/>
      <c r="BO57" s="27">
        <v>3.5</v>
      </c>
      <c r="BP57" s="30">
        <f t="shared" si="92"/>
        <v>42573</v>
      </c>
      <c r="BQ57" s="26">
        <f t="shared" si="72"/>
        <v>42330</v>
      </c>
      <c r="BR57" s="55">
        <v>35</v>
      </c>
      <c r="BS57" s="56">
        <f t="shared" ca="1" si="112"/>
        <v>295.45989965585755</v>
      </c>
      <c r="BT57" s="28">
        <f t="shared" ca="1" si="93"/>
        <v>4.5106294821628889</v>
      </c>
      <c r="BU57" s="28">
        <f t="shared" si="73"/>
        <v>0.92707576307770856</v>
      </c>
      <c r="BV57" s="29">
        <f t="shared" ca="1" si="113"/>
        <v>4.18169526913697</v>
      </c>
      <c r="BW57" s="33"/>
      <c r="BX57" s="27">
        <v>3.5</v>
      </c>
      <c r="BY57" s="30">
        <f t="shared" si="94"/>
        <v>42573</v>
      </c>
      <c r="BZ57" s="26">
        <f t="shared" si="74"/>
        <v>42330</v>
      </c>
      <c r="CA57" s="55">
        <v>35</v>
      </c>
      <c r="CB57" s="56">
        <f t="shared" ca="1" si="114"/>
        <v>274.06583141514847</v>
      </c>
      <c r="CC57" s="28">
        <f t="shared" ca="1" si="95"/>
        <v>4.1840175965488058</v>
      </c>
      <c r="CD57" s="28">
        <f t="shared" si="75"/>
        <v>0.92707576307770856</v>
      </c>
      <c r="CE57" s="29">
        <f t="shared" ca="1" si="115"/>
        <v>3.8789013060510444</v>
      </c>
      <c r="CF57" s="33"/>
      <c r="CG57" s="27">
        <v>3.5</v>
      </c>
      <c r="CH57" s="30">
        <f t="shared" si="96"/>
        <v>42573</v>
      </c>
      <c r="CI57" s="26">
        <f t="shared" si="76"/>
        <v>42330</v>
      </c>
      <c r="CJ57" s="55">
        <v>35</v>
      </c>
      <c r="CK57" s="56">
        <f t="shared" ca="1" si="116"/>
        <v>244.29711563538601</v>
      </c>
      <c r="CL57" s="28">
        <f t="shared" ca="1" si="97"/>
        <v>3.7295544115320776</v>
      </c>
      <c r="CM57" s="28">
        <f t="shared" si="77"/>
        <v>0.92707576307770856</v>
      </c>
      <c r="CN57" s="29">
        <f t="shared" ca="1" si="117"/>
        <v>3.457579502010935</v>
      </c>
      <c r="CO57" s="33"/>
      <c r="CP57" s="27">
        <v>3.5</v>
      </c>
      <c r="CQ57" s="30">
        <f t="shared" si="98"/>
        <v>42573</v>
      </c>
      <c r="CR57" s="26">
        <f t="shared" si="78"/>
        <v>42330</v>
      </c>
      <c r="CS57" s="55">
        <v>35</v>
      </c>
      <c r="CT57" s="56">
        <f t="shared" ca="1" si="118"/>
        <v>294.99829221689453</v>
      </c>
      <c r="CU57" s="28">
        <f t="shared" ca="1" si="99"/>
        <v>4.5035823663756105</v>
      </c>
      <c r="CV57" s="28">
        <f t="shared" si="79"/>
        <v>0.92707576307770856</v>
      </c>
      <c r="CW57" s="29">
        <f t="shared" ca="1" si="119"/>
        <v>4.1751620588909812</v>
      </c>
      <c r="CX57" s="33"/>
      <c r="CY57" s="33"/>
    </row>
    <row r="58" spans="1:103" ht="15.5" x14ac:dyDescent="0.35">
      <c r="A58" s="16"/>
      <c r="B58" s="16"/>
      <c r="C58" s="16"/>
      <c r="D58" s="16"/>
      <c r="E58" s="16"/>
      <c r="F58" s="16"/>
      <c r="G58" s="16"/>
      <c r="H58" s="16"/>
      <c r="I58" s="16"/>
      <c r="J58" s="16"/>
      <c r="K58" s="16"/>
      <c r="L58" s="16"/>
      <c r="M58" s="27">
        <v>4</v>
      </c>
      <c r="N58" s="30">
        <f t="shared" si="80"/>
        <v>42757</v>
      </c>
      <c r="O58" s="26">
        <f t="shared" si="60"/>
        <v>42512</v>
      </c>
      <c r="P58" s="55">
        <v>41</v>
      </c>
      <c r="Q58" s="56">
        <f t="shared" ca="1" si="100"/>
        <v>293.01282989049599</v>
      </c>
      <c r="R58" s="28">
        <f t="shared" ca="1" si="81"/>
        <v>4.4732713667590529</v>
      </c>
      <c r="S58" s="28">
        <f t="shared" si="61"/>
        <v>0.917101497549073</v>
      </c>
      <c r="T58" s="29">
        <f t="shared" ca="1" si="101"/>
        <v>4.1024438693981162</v>
      </c>
      <c r="U58" s="16"/>
      <c r="V58" s="27">
        <v>4</v>
      </c>
      <c r="W58" s="30">
        <f t="shared" si="82"/>
        <v>42757</v>
      </c>
      <c r="X58" s="26">
        <f t="shared" si="62"/>
        <v>42512</v>
      </c>
      <c r="Y58" s="55">
        <v>41</v>
      </c>
      <c r="Z58" s="56">
        <f t="shared" ca="1" si="102"/>
        <v>283.71717278989547</v>
      </c>
      <c r="AA58" s="28">
        <f t="shared" ca="1" si="83"/>
        <v>4.3313595031766052</v>
      </c>
      <c r="AB58" s="28">
        <f t="shared" si="63"/>
        <v>0.917101497549073</v>
      </c>
      <c r="AC58" s="29">
        <f t="shared" ca="1" si="103"/>
        <v>3.9722962867866736</v>
      </c>
      <c r="AD58" s="16"/>
      <c r="AE58" s="27">
        <v>4</v>
      </c>
      <c r="AF58" s="30">
        <f t="shared" si="84"/>
        <v>42757</v>
      </c>
      <c r="AG58" s="26">
        <f t="shared" si="64"/>
        <v>42512</v>
      </c>
      <c r="AH58" s="55">
        <v>41</v>
      </c>
      <c r="AI58" s="56">
        <f t="shared" ca="1" si="104"/>
        <v>292.99491331150392</v>
      </c>
      <c r="AJ58" s="28">
        <f t="shared" ca="1" si="85"/>
        <v>4.4729978438562314</v>
      </c>
      <c r="AK58" s="28">
        <f t="shared" si="65"/>
        <v>0.917101497549073</v>
      </c>
      <c r="AL58" s="29">
        <f t="shared" ca="1" si="105"/>
        <v>4.1021930211343243</v>
      </c>
      <c r="AM58" s="33"/>
      <c r="AN58" s="27">
        <v>4</v>
      </c>
      <c r="AO58" s="30">
        <f t="shared" si="86"/>
        <v>42757</v>
      </c>
      <c r="AP58" s="26">
        <f t="shared" si="66"/>
        <v>42512</v>
      </c>
      <c r="AQ58" s="55">
        <v>41</v>
      </c>
      <c r="AR58" s="56">
        <f t="shared" ca="1" si="106"/>
        <v>277.54143154542709</v>
      </c>
      <c r="AS58" s="28">
        <f t="shared" ca="1" si="87"/>
        <v>4.2370777391742669</v>
      </c>
      <c r="AT58" s="28">
        <f t="shared" si="67"/>
        <v>0.917101497549073</v>
      </c>
      <c r="AU58" s="29">
        <f t="shared" ca="1" si="107"/>
        <v>3.8858303398285607</v>
      </c>
      <c r="AV58" s="33"/>
      <c r="AW58" s="27">
        <v>4</v>
      </c>
      <c r="AX58" s="30">
        <f t="shared" si="88"/>
        <v>42757</v>
      </c>
      <c r="AY58" s="26">
        <f t="shared" si="68"/>
        <v>42512</v>
      </c>
      <c r="AZ58" s="55">
        <v>41</v>
      </c>
      <c r="BA58" s="56">
        <f t="shared" ca="1" si="108"/>
        <v>304.54899264423079</v>
      </c>
      <c r="BB58" s="28">
        <f t="shared" ca="1" si="89"/>
        <v>4.6493878410712517</v>
      </c>
      <c r="BC58" s="28">
        <f t="shared" si="69"/>
        <v>0.917101497549073</v>
      </c>
      <c r="BD58" s="29">
        <f t="shared" ca="1" si="109"/>
        <v>4.2639605517328967</v>
      </c>
      <c r="BE58" s="33"/>
      <c r="BF58" s="27">
        <v>4</v>
      </c>
      <c r="BG58" s="30">
        <f t="shared" si="90"/>
        <v>42757</v>
      </c>
      <c r="BH58" s="26">
        <f t="shared" si="70"/>
        <v>42512</v>
      </c>
      <c r="BI58" s="55">
        <v>41</v>
      </c>
      <c r="BJ58" s="56">
        <f t="shared" ca="1" si="110"/>
        <v>284.73089796432828</v>
      </c>
      <c r="BK58" s="28">
        <f t="shared" ca="1" si="91"/>
        <v>4.3468355074124876</v>
      </c>
      <c r="BL58" s="28">
        <f t="shared" si="71"/>
        <v>0.917101497549073</v>
      </c>
      <c r="BM58" s="29">
        <f t="shared" ca="1" si="111"/>
        <v>3.9864893534474768</v>
      </c>
      <c r="BN58" s="33"/>
      <c r="BO58" s="27">
        <v>4</v>
      </c>
      <c r="BP58" s="30">
        <f t="shared" si="92"/>
        <v>42757</v>
      </c>
      <c r="BQ58" s="26">
        <f t="shared" si="72"/>
        <v>42512</v>
      </c>
      <c r="BR58" s="55">
        <v>41</v>
      </c>
      <c r="BS58" s="56">
        <f t="shared" ca="1" si="112"/>
        <v>304.71670962558744</v>
      </c>
      <c r="BT58" s="28">
        <f t="shared" ca="1" si="93"/>
        <v>4.6519482872152045</v>
      </c>
      <c r="BU58" s="28">
        <f t="shared" si="73"/>
        <v>0.917101497549073</v>
      </c>
      <c r="BV58" s="29">
        <f t="shared" ca="1" si="113"/>
        <v>4.2663087407259095</v>
      </c>
      <c r="BW58" s="33"/>
      <c r="BX58" s="27">
        <v>4</v>
      </c>
      <c r="BY58" s="30">
        <f t="shared" si="94"/>
        <v>42757</v>
      </c>
      <c r="BZ58" s="26">
        <f t="shared" si="74"/>
        <v>42512</v>
      </c>
      <c r="CA58" s="55">
        <v>41</v>
      </c>
      <c r="CB58" s="56">
        <f t="shared" ca="1" si="114"/>
        <v>279.03363945561955</v>
      </c>
      <c r="CC58" s="28">
        <f t="shared" ca="1" si="95"/>
        <v>4.2598584853975971</v>
      </c>
      <c r="CD58" s="28">
        <f t="shared" si="75"/>
        <v>0.917101497549073</v>
      </c>
      <c r="CE58" s="29">
        <f t="shared" ca="1" si="115"/>
        <v>3.9067225963052623</v>
      </c>
      <c r="CF58" s="33"/>
      <c r="CG58" s="27">
        <v>4</v>
      </c>
      <c r="CH58" s="30">
        <f t="shared" si="96"/>
        <v>42757</v>
      </c>
      <c r="CI58" s="26">
        <f t="shared" si="76"/>
        <v>42512</v>
      </c>
      <c r="CJ58" s="55">
        <v>41</v>
      </c>
      <c r="CK58" s="56">
        <f t="shared" ca="1" si="116"/>
        <v>243.8706055382016</v>
      </c>
      <c r="CL58" s="28">
        <f t="shared" ca="1" si="97"/>
        <v>3.7230431082349433</v>
      </c>
      <c r="CM58" s="28">
        <f t="shared" si="77"/>
        <v>0.917101497549073</v>
      </c>
      <c r="CN58" s="29">
        <f t="shared" ca="1" si="117"/>
        <v>3.414408410002022</v>
      </c>
      <c r="CO58" s="33"/>
      <c r="CP58" s="27">
        <v>4</v>
      </c>
      <c r="CQ58" s="30">
        <f t="shared" si="98"/>
        <v>42757</v>
      </c>
      <c r="CR58" s="26">
        <f t="shared" si="78"/>
        <v>42512</v>
      </c>
      <c r="CS58" s="55">
        <v>41</v>
      </c>
      <c r="CT58" s="56">
        <f t="shared" ca="1" si="118"/>
        <v>304.15910271409672</v>
      </c>
      <c r="CU58" s="28">
        <f t="shared" ca="1" si="99"/>
        <v>4.6434355984294928</v>
      </c>
      <c r="CV58" s="28">
        <f t="shared" si="79"/>
        <v>0.917101497549073</v>
      </c>
      <c r="CW58" s="29">
        <f t="shared" ca="1" si="119"/>
        <v>4.2585017410923642</v>
      </c>
      <c r="CX58" s="33"/>
      <c r="CY58" s="33"/>
    </row>
    <row r="59" spans="1:103" ht="15.5" x14ac:dyDescent="0.35">
      <c r="A59" s="16"/>
      <c r="B59" s="16"/>
      <c r="C59" s="16"/>
      <c r="D59" s="16"/>
      <c r="E59" s="16"/>
      <c r="F59" s="16"/>
      <c r="G59" s="16"/>
      <c r="H59" s="16"/>
      <c r="I59" s="16"/>
      <c r="J59" s="16"/>
      <c r="K59" s="16"/>
      <c r="L59" s="16"/>
      <c r="M59" s="27">
        <v>4.5</v>
      </c>
      <c r="N59" s="30">
        <f t="shared" si="80"/>
        <v>42938</v>
      </c>
      <c r="O59" s="26">
        <f t="shared" si="60"/>
        <v>42696</v>
      </c>
      <c r="P59" s="55">
        <v>47</v>
      </c>
      <c r="Q59" s="56">
        <f t="shared" ca="1" si="100"/>
        <v>300.46586917403368</v>
      </c>
      <c r="R59" s="28">
        <f t="shared" ca="1" si="81"/>
        <v>4.5870529620388192</v>
      </c>
      <c r="S59" s="28">
        <f t="shared" si="61"/>
        <v>0.90723454360898015</v>
      </c>
      <c r="T59" s="29">
        <f t="shared" ca="1" si="101"/>
        <v>4.1615329005255086</v>
      </c>
      <c r="U59" s="16"/>
      <c r="V59" s="27">
        <v>4.5</v>
      </c>
      <c r="W59" s="30">
        <f t="shared" si="82"/>
        <v>42938</v>
      </c>
      <c r="X59" s="26">
        <f t="shared" si="62"/>
        <v>42696</v>
      </c>
      <c r="Y59" s="55">
        <v>47</v>
      </c>
      <c r="Z59" s="56">
        <f t="shared" ca="1" si="102"/>
        <v>289.56442466342338</v>
      </c>
      <c r="AA59" s="28">
        <f t="shared" ca="1" si="83"/>
        <v>4.4206263942880142</v>
      </c>
      <c r="AB59" s="28">
        <f t="shared" si="63"/>
        <v>0.90723454360898015</v>
      </c>
      <c r="AC59" s="29">
        <f t="shared" ca="1" si="103"/>
        <v>4.0105449692876984</v>
      </c>
      <c r="AD59" s="16"/>
      <c r="AE59" s="27">
        <v>4.5</v>
      </c>
      <c r="AF59" s="30">
        <f t="shared" si="84"/>
        <v>42938</v>
      </c>
      <c r="AG59" s="26">
        <f t="shared" si="64"/>
        <v>42696</v>
      </c>
      <c r="AH59" s="55">
        <v>47</v>
      </c>
      <c r="AI59" s="56">
        <f t="shared" ca="1" si="104"/>
        <v>300.44480833561221</v>
      </c>
      <c r="AJ59" s="28">
        <f t="shared" ca="1" si="85"/>
        <v>4.5867314373960051</v>
      </c>
      <c r="AK59" s="28">
        <f t="shared" si="65"/>
        <v>0.90723454360898015</v>
      </c>
      <c r="AL59" s="29">
        <f t="shared" ca="1" si="105"/>
        <v>4.1612412022629259</v>
      </c>
      <c r="AM59" s="33"/>
      <c r="AN59" s="27">
        <v>4.5</v>
      </c>
      <c r="AO59" s="30">
        <f t="shared" si="86"/>
        <v>42938</v>
      </c>
      <c r="AP59" s="26">
        <f t="shared" si="66"/>
        <v>42696</v>
      </c>
      <c r="AQ59" s="55">
        <v>47</v>
      </c>
      <c r="AR59" s="56">
        <f t="shared" ca="1" si="106"/>
        <v>282.35059181745504</v>
      </c>
      <c r="AS59" s="28">
        <f t="shared" ca="1" si="87"/>
        <v>4.3104966367394599</v>
      </c>
      <c r="AT59" s="28">
        <f t="shared" si="67"/>
        <v>0.90723454360898015</v>
      </c>
      <c r="AU59" s="29">
        <f t="shared" ca="1" si="107"/>
        <v>3.910631448960368</v>
      </c>
      <c r="AV59" s="33"/>
      <c r="AW59" s="27">
        <v>4.5</v>
      </c>
      <c r="AX59" s="30">
        <f t="shared" si="88"/>
        <v>42938</v>
      </c>
      <c r="AY59" s="26">
        <f t="shared" si="68"/>
        <v>42696</v>
      </c>
      <c r="AZ59" s="55">
        <v>47</v>
      </c>
      <c r="BA59" s="56">
        <f t="shared" ca="1" si="108"/>
        <v>314.06526054799912</v>
      </c>
      <c r="BB59" s="28">
        <f t="shared" ca="1" si="89"/>
        <v>4.7946676527035397</v>
      </c>
      <c r="BC59" s="28">
        <f t="shared" si="69"/>
        <v>0.90723454360898015</v>
      </c>
      <c r="BD59" s="29">
        <f t="shared" ca="1" si="109"/>
        <v>4.3498881196572361</v>
      </c>
      <c r="BE59" s="33"/>
      <c r="BF59" s="27">
        <v>4.5</v>
      </c>
      <c r="BG59" s="30">
        <f t="shared" si="90"/>
        <v>42938</v>
      </c>
      <c r="BH59" s="26">
        <f t="shared" si="70"/>
        <v>42696</v>
      </c>
      <c r="BI59" s="55">
        <v>47</v>
      </c>
      <c r="BJ59" s="56">
        <f t="shared" ca="1" si="110"/>
        <v>290.75075934137004</v>
      </c>
      <c r="BK59" s="28">
        <f t="shared" ca="1" si="91"/>
        <v>4.438737536207074</v>
      </c>
      <c r="BL59" s="28">
        <f t="shared" si="71"/>
        <v>0.90723454360898015</v>
      </c>
      <c r="BM59" s="29">
        <f t="shared" ca="1" si="111"/>
        <v>4.0269760228608735</v>
      </c>
      <c r="BN59" s="33"/>
      <c r="BO59" s="27">
        <v>4.5</v>
      </c>
      <c r="BP59" s="30">
        <f t="shared" si="92"/>
        <v>42938</v>
      </c>
      <c r="BQ59" s="26">
        <f t="shared" si="72"/>
        <v>42696</v>
      </c>
      <c r="BR59" s="55">
        <v>47</v>
      </c>
      <c r="BS59" s="56">
        <f t="shared" ca="1" si="112"/>
        <v>314.26353705933019</v>
      </c>
      <c r="BT59" s="28">
        <f t="shared" ca="1" si="93"/>
        <v>4.7976946349731202</v>
      </c>
      <c r="BU59" s="28">
        <f t="shared" si="73"/>
        <v>0.90723454360898015</v>
      </c>
      <c r="BV59" s="29">
        <f t="shared" ca="1" si="113"/>
        <v>4.3526343025350913</v>
      </c>
      <c r="BW59" s="33"/>
      <c r="BX59" s="27">
        <v>4.5</v>
      </c>
      <c r="BY59" s="30">
        <f t="shared" si="94"/>
        <v>42938</v>
      </c>
      <c r="BZ59" s="26">
        <f t="shared" si="74"/>
        <v>42696</v>
      </c>
      <c r="CA59" s="55">
        <v>47</v>
      </c>
      <c r="CB59" s="56">
        <f t="shared" ca="1" si="114"/>
        <v>284.09149563014495</v>
      </c>
      <c r="CC59" s="28">
        <f t="shared" ca="1" si="95"/>
        <v>4.337074091318831</v>
      </c>
      <c r="CD59" s="28">
        <f t="shared" si="75"/>
        <v>0.90723454360898015</v>
      </c>
      <c r="CE59" s="29">
        <f t="shared" ca="1" si="115"/>
        <v>3.9347434338359721</v>
      </c>
      <c r="CF59" s="33"/>
      <c r="CG59" s="27">
        <v>4.5</v>
      </c>
      <c r="CH59" s="30">
        <f t="shared" si="96"/>
        <v>42938</v>
      </c>
      <c r="CI59" s="26">
        <f t="shared" si="76"/>
        <v>42696</v>
      </c>
      <c r="CJ59" s="55">
        <v>47</v>
      </c>
      <c r="CK59" s="56">
        <f t="shared" ca="1" si="116"/>
        <v>243.44484007061513</v>
      </c>
      <c r="CL59" s="28">
        <f t="shared" ca="1" si="97"/>
        <v>3.7165431728026923</v>
      </c>
      <c r="CM59" s="28">
        <f t="shared" si="77"/>
        <v>0.90723454360898015</v>
      </c>
      <c r="CN59" s="29">
        <f t="shared" ca="1" si="117"/>
        <v>3.3717763491807218</v>
      </c>
      <c r="CO59" s="33"/>
      <c r="CP59" s="27">
        <v>4.5</v>
      </c>
      <c r="CQ59" s="30">
        <f t="shared" si="98"/>
        <v>42938</v>
      </c>
      <c r="CR59" s="26">
        <f t="shared" si="78"/>
        <v>42696</v>
      </c>
      <c r="CS59" s="55">
        <v>47</v>
      </c>
      <c r="CT59" s="56">
        <f t="shared" ca="1" si="118"/>
        <v>313.60439095635627</v>
      </c>
      <c r="CU59" s="28">
        <f t="shared" ca="1" si="99"/>
        <v>4.7876318012397103</v>
      </c>
      <c r="CV59" s="28">
        <f t="shared" si="79"/>
        <v>0.90723454360898015</v>
      </c>
      <c r="CW59" s="29">
        <f t="shared" ca="1" si="119"/>
        <v>4.3435049521655484</v>
      </c>
      <c r="CX59" s="33"/>
      <c r="CY59" s="33"/>
    </row>
    <row r="60" spans="1:103" ht="15.5" x14ac:dyDescent="0.35">
      <c r="A60" s="16"/>
      <c r="B60" s="16"/>
      <c r="C60" s="16"/>
      <c r="D60" s="16"/>
      <c r="E60" s="16"/>
      <c r="F60" s="16"/>
      <c r="G60" s="16"/>
      <c r="H60" s="16"/>
      <c r="I60" s="16"/>
      <c r="J60" s="16"/>
      <c r="K60" s="16"/>
      <c r="L60" s="16"/>
      <c r="M60" s="27">
        <v>5</v>
      </c>
      <c r="N60" s="30">
        <f t="shared" si="80"/>
        <v>43122</v>
      </c>
      <c r="O60" s="26">
        <f t="shared" si="60"/>
        <v>42877</v>
      </c>
      <c r="P60" s="55">
        <v>53</v>
      </c>
      <c r="Q60" s="56">
        <f t="shared" ca="1" si="100"/>
        <v>308.10848307306759</v>
      </c>
      <c r="R60" s="28">
        <f t="shared" ca="1" si="81"/>
        <v>4.7037286923627084</v>
      </c>
      <c r="S60" s="28">
        <f t="shared" si="61"/>
        <v>0.89747374670855684</v>
      </c>
      <c r="T60" s="29">
        <f t="shared" ca="1" si="101"/>
        <v>4.2214730130353004</v>
      </c>
      <c r="U60" s="16"/>
      <c r="V60" s="27">
        <v>5</v>
      </c>
      <c r="W60" s="30">
        <f t="shared" si="82"/>
        <v>43122</v>
      </c>
      <c r="X60" s="26">
        <f t="shared" si="62"/>
        <v>42877</v>
      </c>
      <c r="Y60" s="55">
        <v>53</v>
      </c>
      <c r="Z60" s="56">
        <f t="shared" ca="1" si="102"/>
        <v>295.53218511997522</v>
      </c>
      <c r="AA60" s="28">
        <f t="shared" ca="1" si="83"/>
        <v>4.5117330259803765</v>
      </c>
      <c r="AB60" s="28">
        <f t="shared" si="63"/>
        <v>0.89747374670855684</v>
      </c>
      <c r="AC60" s="29">
        <f t="shared" ca="1" si="103"/>
        <v>4.0491619429753429</v>
      </c>
      <c r="AD60" s="16"/>
      <c r="AE60" s="27">
        <v>5</v>
      </c>
      <c r="AF60" s="30">
        <f t="shared" si="84"/>
        <v>43122</v>
      </c>
      <c r="AG60" s="26">
        <f t="shared" si="64"/>
        <v>42877</v>
      </c>
      <c r="AH60" s="55">
        <v>53</v>
      </c>
      <c r="AI60" s="56">
        <f t="shared" ca="1" si="104"/>
        <v>308.08412963761361</v>
      </c>
      <c r="AJ60" s="28">
        <f t="shared" ca="1" si="85"/>
        <v>4.7033569013884389</v>
      </c>
      <c r="AK60" s="28">
        <f t="shared" si="65"/>
        <v>0.89747374670855684</v>
      </c>
      <c r="AL60" s="29">
        <f t="shared" ca="1" si="105"/>
        <v>4.2211393403966309</v>
      </c>
      <c r="AM60" s="33"/>
      <c r="AN60" s="27">
        <v>5</v>
      </c>
      <c r="AO60" s="30">
        <f t="shared" si="86"/>
        <v>43122</v>
      </c>
      <c r="AP60" s="26">
        <f t="shared" si="66"/>
        <v>42877</v>
      </c>
      <c r="AQ60" s="55">
        <v>53</v>
      </c>
      <c r="AR60" s="56">
        <f t="shared" ca="1" si="106"/>
        <v>287.24308387311362</v>
      </c>
      <c r="AS60" s="28">
        <f t="shared" ca="1" si="87"/>
        <v>4.385187716419666</v>
      </c>
      <c r="AT60" s="28">
        <f t="shared" si="67"/>
        <v>0.89747374670855684</v>
      </c>
      <c r="AU60" s="29">
        <f t="shared" ca="1" si="107"/>
        <v>3.9355908498754979</v>
      </c>
      <c r="AV60" s="33"/>
      <c r="AW60" s="27">
        <v>5</v>
      </c>
      <c r="AX60" s="30">
        <f t="shared" si="88"/>
        <v>43122</v>
      </c>
      <c r="AY60" s="26">
        <f t="shared" si="68"/>
        <v>42877</v>
      </c>
      <c r="AZ60" s="55">
        <v>53</v>
      </c>
      <c r="BA60" s="56">
        <f t="shared" ca="1" si="108"/>
        <v>323.87888407271373</v>
      </c>
      <c r="BB60" s="28">
        <f t="shared" ca="1" si="89"/>
        <v>4.944487034788839</v>
      </c>
      <c r="BC60" s="28">
        <f t="shared" si="69"/>
        <v>0.89747374670855684</v>
      </c>
      <c r="BD60" s="29">
        <f t="shared" ca="1" si="109"/>
        <v>4.4375473046638216</v>
      </c>
      <c r="BE60" s="33"/>
      <c r="BF60" s="27">
        <v>5</v>
      </c>
      <c r="BG60" s="30">
        <f t="shared" si="90"/>
        <v>43122</v>
      </c>
      <c r="BH60" s="26">
        <f t="shared" si="70"/>
        <v>42877</v>
      </c>
      <c r="BI60" s="55">
        <v>53</v>
      </c>
      <c r="BJ60" s="56">
        <f t="shared" ca="1" si="110"/>
        <v>296.89789433450994</v>
      </c>
      <c r="BK60" s="28">
        <f t="shared" ca="1" si="91"/>
        <v>4.5325825837522338</v>
      </c>
      <c r="BL60" s="28">
        <f t="shared" si="71"/>
        <v>0.89747374670855684</v>
      </c>
      <c r="BM60" s="29">
        <f t="shared" ca="1" si="111"/>
        <v>4.067873873706068</v>
      </c>
      <c r="BN60" s="33"/>
      <c r="BO60" s="27">
        <v>5</v>
      </c>
      <c r="BP60" s="30">
        <f t="shared" si="92"/>
        <v>43122</v>
      </c>
      <c r="BQ60" s="26">
        <f t="shared" si="72"/>
        <v>42877</v>
      </c>
      <c r="BR60" s="55">
        <v>53</v>
      </c>
      <c r="BS60" s="56">
        <f t="shared" ca="1" si="112"/>
        <v>324.10946825460167</v>
      </c>
      <c r="BT60" s="28">
        <f t="shared" ca="1" si="93"/>
        <v>4.9480072411185487</v>
      </c>
      <c r="BU60" s="28">
        <f t="shared" si="73"/>
        <v>0.89747374670855684</v>
      </c>
      <c r="BV60" s="29">
        <f t="shared" ca="1" si="113"/>
        <v>4.4407065974277335</v>
      </c>
      <c r="BW60" s="33"/>
      <c r="BX60" s="27">
        <v>5</v>
      </c>
      <c r="BY60" s="30">
        <f t="shared" si="94"/>
        <v>43122</v>
      </c>
      <c r="BZ60" s="26">
        <f t="shared" si="74"/>
        <v>42877</v>
      </c>
      <c r="CA60" s="55">
        <v>53</v>
      </c>
      <c r="CB60" s="56">
        <f t="shared" ca="1" si="114"/>
        <v>289.24103218102965</v>
      </c>
      <c r="CC60" s="28">
        <f t="shared" ca="1" si="95"/>
        <v>4.4156893328895164</v>
      </c>
      <c r="CD60" s="28">
        <f t="shared" si="75"/>
        <v>0.89747374670855684</v>
      </c>
      <c r="CE60" s="29">
        <f t="shared" ca="1" si="115"/>
        <v>3.9629652498893622</v>
      </c>
      <c r="CF60" s="33"/>
      <c r="CG60" s="27">
        <v>5</v>
      </c>
      <c r="CH60" s="30">
        <f t="shared" si="96"/>
        <v>43122</v>
      </c>
      <c r="CI60" s="26">
        <f t="shared" si="76"/>
        <v>42877</v>
      </c>
      <c r="CJ60" s="55">
        <v>53</v>
      </c>
      <c r="CK60" s="56">
        <f t="shared" ca="1" si="116"/>
        <v>243.01981793260296</v>
      </c>
      <c r="CL60" s="28">
        <f t="shared" ca="1" si="97"/>
        <v>3.7100545853885536</v>
      </c>
      <c r="CM60" s="28">
        <f t="shared" si="77"/>
        <v>0.89747374670855684</v>
      </c>
      <c r="CN60" s="29">
        <f t="shared" ca="1" si="117"/>
        <v>3.3296765892419264</v>
      </c>
      <c r="CO60" s="33"/>
      <c r="CP60" s="27">
        <v>5</v>
      </c>
      <c r="CQ60" s="30">
        <f t="shared" si="98"/>
        <v>43122</v>
      </c>
      <c r="CR60" s="26">
        <f t="shared" si="78"/>
        <v>42877</v>
      </c>
      <c r="CS60" s="55">
        <v>53</v>
      </c>
      <c r="CT60" s="56">
        <f t="shared" ca="1" si="118"/>
        <v>323.34299105146948</v>
      </c>
      <c r="CU60" s="28">
        <f t="shared" ca="1" si="99"/>
        <v>4.9363058404415678</v>
      </c>
      <c r="CV60" s="28">
        <f t="shared" si="79"/>
        <v>0.89747374670855684</v>
      </c>
      <c r="CW60" s="29">
        <f t="shared" ca="1" si="119"/>
        <v>4.4302048975204258</v>
      </c>
      <c r="CX60" s="33"/>
      <c r="CY60" s="33"/>
    </row>
    <row r="61" spans="1:103" ht="15.5" x14ac:dyDescent="0.35">
      <c r="A61" s="16"/>
      <c r="B61" s="16"/>
      <c r="C61" s="16"/>
      <c r="D61" s="16"/>
      <c r="E61" s="16"/>
      <c r="F61" s="16"/>
      <c r="G61" s="16"/>
      <c r="H61" s="16"/>
      <c r="I61" s="16"/>
      <c r="J61" s="16"/>
      <c r="K61" s="16"/>
      <c r="L61" s="16"/>
      <c r="M61" s="27">
        <v>5.5</v>
      </c>
      <c r="N61" s="30">
        <f t="shared" si="80"/>
        <v>43303</v>
      </c>
      <c r="O61" s="26">
        <f t="shared" si="60"/>
        <v>43061</v>
      </c>
      <c r="P61" s="55">
        <v>59</v>
      </c>
      <c r="Q61" s="56">
        <f t="shared" ca="1" si="100"/>
        <v>315.94549358483584</v>
      </c>
      <c r="R61" s="28">
        <f t="shared" ca="1" si="81"/>
        <v>4.8233721726034338</v>
      </c>
      <c r="S61" s="28">
        <f t="shared" si="61"/>
        <v>0.88781796472054175</v>
      </c>
      <c r="T61" s="29">
        <f t="shared" ca="1" si="101"/>
        <v>4.2822764653704786</v>
      </c>
      <c r="U61" s="16"/>
      <c r="V61" s="27">
        <v>5.5</v>
      </c>
      <c r="W61" s="30">
        <f t="shared" si="82"/>
        <v>43303</v>
      </c>
      <c r="X61" s="26">
        <f t="shared" si="62"/>
        <v>43061</v>
      </c>
      <c r="Y61" s="55">
        <v>59</v>
      </c>
      <c r="Z61" s="56">
        <f t="shared" ca="1" si="102"/>
        <v>301.6229377738876</v>
      </c>
      <c r="AA61" s="28">
        <f t="shared" ca="1" si="83"/>
        <v>4.6047173142756712</v>
      </c>
      <c r="AB61" s="28">
        <f t="shared" si="63"/>
        <v>0.88781796472054175</v>
      </c>
      <c r="AC61" s="29">
        <f t="shared" ca="1" si="103"/>
        <v>4.0881507540736655</v>
      </c>
      <c r="AD61" s="16"/>
      <c r="AE61" s="27">
        <v>5.5</v>
      </c>
      <c r="AF61" s="30">
        <f t="shared" si="84"/>
        <v>43303</v>
      </c>
      <c r="AG61" s="26">
        <f t="shared" si="64"/>
        <v>43061</v>
      </c>
      <c r="AH61" s="55">
        <v>59</v>
      </c>
      <c r="AI61" s="56">
        <f t="shared" ca="1" si="104"/>
        <v>315.91769370346412</v>
      </c>
      <c r="AJ61" s="28">
        <f t="shared" ca="1" si="85"/>
        <v>4.8229477665684293</v>
      </c>
      <c r="AK61" s="28">
        <f t="shared" si="65"/>
        <v>0.88781796472054175</v>
      </c>
      <c r="AL61" s="29">
        <f t="shared" ca="1" si="105"/>
        <v>4.281899670068265</v>
      </c>
      <c r="AM61" s="33"/>
      <c r="AN61" s="27">
        <v>5.5</v>
      </c>
      <c r="AO61" s="30">
        <f t="shared" si="86"/>
        <v>43303</v>
      </c>
      <c r="AP61" s="26">
        <f t="shared" si="66"/>
        <v>43061</v>
      </c>
      <c r="AQ61" s="55">
        <v>59</v>
      </c>
      <c r="AR61" s="56">
        <f t="shared" ca="1" si="106"/>
        <v>292.2203516622339</v>
      </c>
      <c r="AS61" s="28">
        <f t="shared" ca="1" si="87"/>
        <v>4.461173022230625</v>
      </c>
      <c r="AT61" s="28">
        <f t="shared" si="67"/>
        <v>0.88781796472054175</v>
      </c>
      <c r="AU61" s="29">
        <f t="shared" ca="1" si="107"/>
        <v>3.9607095528629817</v>
      </c>
      <c r="AV61" s="33"/>
      <c r="AW61" s="27">
        <v>5.5</v>
      </c>
      <c r="AX61" s="30">
        <f t="shared" si="88"/>
        <v>43303</v>
      </c>
      <c r="AY61" s="26">
        <f t="shared" si="68"/>
        <v>43061</v>
      </c>
      <c r="AZ61" s="55">
        <v>59</v>
      </c>
      <c r="BA61" s="56">
        <f t="shared" ca="1" si="108"/>
        <v>333.99915471438999</v>
      </c>
      <c r="BB61" s="28">
        <f t="shared" ca="1" si="89"/>
        <v>5.0989878356656506</v>
      </c>
      <c r="BC61" s="28">
        <f t="shared" si="69"/>
        <v>0.88781796472054175</v>
      </c>
      <c r="BD61" s="29">
        <f t="shared" ca="1" si="109"/>
        <v>4.5269730023954784</v>
      </c>
      <c r="BE61" s="33"/>
      <c r="BF61" s="27">
        <v>5.5</v>
      </c>
      <c r="BG61" s="30">
        <f t="shared" si="90"/>
        <v>43303</v>
      </c>
      <c r="BH61" s="26">
        <f t="shared" si="70"/>
        <v>43061</v>
      </c>
      <c r="BI61" s="55">
        <v>59</v>
      </c>
      <c r="BJ61" s="56">
        <f t="shared" ca="1" si="110"/>
        <v>303.17499379862659</v>
      </c>
      <c r="BK61" s="28">
        <f t="shared" ca="1" si="91"/>
        <v>4.6284117299013126</v>
      </c>
      <c r="BL61" s="28">
        <f t="shared" si="71"/>
        <v>0.88781796472054175</v>
      </c>
      <c r="BM61" s="29">
        <f t="shared" ca="1" si="111"/>
        <v>4.1091870819296652</v>
      </c>
      <c r="BN61" s="33"/>
      <c r="BO61" s="27">
        <v>5.5</v>
      </c>
      <c r="BP61" s="30">
        <f t="shared" si="92"/>
        <v>43303</v>
      </c>
      <c r="BQ61" s="26">
        <f t="shared" si="72"/>
        <v>43061</v>
      </c>
      <c r="BR61" s="55">
        <v>59</v>
      </c>
      <c r="BS61" s="56">
        <f t="shared" ca="1" si="112"/>
        <v>334.26387418419688</v>
      </c>
      <c r="BT61" s="28">
        <f t="shared" ca="1" si="93"/>
        <v>5.103029167319808</v>
      </c>
      <c r="BU61" s="28">
        <f t="shared" si="73"/>
        <v>0.88781796472054175</v>
      </c>
      <c r="BV61" s="29">
        <f t="shared" ca="1" si="113"/>
        <v>4.5305609692394331</v>
      </c>
      <c r="BW61" s="33"/>
      <c r="BX61" s="27">
        <v>5.5</v>
      </c>
      <c r="BY61" s="30">
        <f t="shared" si="94"/>
        <v>43303</v>
      </c>
      <c r="BZ61" s="26">
        <f t="shared" si="74"/>
        <v>43061</v>
      </c>
      <c r="CA61" s="55">
        <v>59</v>
      </c>
      <c r="CB61" s="56">
        <f t="shared" ca="1" si="114"/>
        <v>294.48391093714321</v>
      </c>
      <c r="CC61" s="28">
        <f t="shared" ca="1" si="95"/>
        <v>4.4957295803690442</v>
      </c>
      <c r="CD61" s="28">
        <f t="shared" si="75"/>
        <v>0.88781796472054175</v>
      </c>
      <c r="CE61" s="29">
        <f t="shared" ca="1" si="115"/>
        <v>3.9913894859771801</v>
      </c>
      <c r="CF61" s="33"/>
      <c r="CG61" s="27">
        <v>5.5</v>
      </c>
      <c r="CH61" s="30">
        <f t="shared" si="96"/>
        <v>43303</v>
      </c>
      <c r="CI61" s="26">
        <f t="shared" si="76"/>
        <v>43061</v>
      </c>
      <c r="CJ61" s="55">
        <v>59</v>
      </c>
      <c r="CK61" s="56">
        <f t="shared" ca="1" si="116"/>
        <v>242.59553782641098</v>
      </c>
      <c r="CL61" s="28">
        <f t="shared" ca="1" si="97"/>
        <v>3.7035773261804046</v>
      </c>
      <c r="CM61" s="28">
        <f t="shared" si="77"/>
        <v>0.88781796472054175</v>
      </c>
      <c r="CN61" s="29">
        <f t="shared" ca="1" si="117"/>
        <v>3.2881024839146327</v>
      </c>
      <c r="CO61" s="33"/>
      <c r="CP61" s="27">
        <v>5.5</v>
      </c>
      <c r="CQ61" s="30">
        <f t="shared" si="98"/>
        <v>43303</v>
      </c>
      <c r="CR61" s="26">
        <f t="shared" si="78"/>
        <v>43061</v>
      </c>
      <c r="CS61" s="55">
        <v>59</v>
      </c>
      <c r="CT61" s="56">
        <f t="shared" ca="1" si="118"/>
        <v>333.38401143962551</v>
      </c>
      <c r="CU61" s="28">
        <f t="shared" ca="1" si="99"/>
        <v>5.0895967697574216</v>
      </c>
      <c r="CV61" s="28">
        <f t="shared" si="79"/>
        <v>0.88781796472054175</v>
      </c>
      <c r="CW61" s="29">
        <f t="shared" ca="1" si="119"/>
        <v>4.5186354453742776</v>
      </c>
      <c r="CX61" s="33"/>
      <c r="CY61" s="33"/>
    </row>
    <row r="62" spans="1:103" ht="15.5" x14ac:dyDescent="0.35">
      <c r="A62" s="16"/>
      <c r="B62" s="16"/>
      <c r="C62" s="16"/>
      <c r="D62" s="16"/>
      <c r="E62" s="16"/>
      <c r="F62" s="16"/>
      <c r="G62" s="16"/>
      <c r="H62" s="16"/>
      <c r="I62" s="16"/>
      <c r="J62" s="16"/>
      <c r="K62" s="16"/>
      <c r="L62" s="16"/>
      <c r="M62" s="27">
        <v>6</v>
      </c>
      <c r="N62" s="30">
        <f t="shared" si="80"/>
        <v>43487</v>
      </c>
      <c r="O62" s="26">
        <f t="shared" si="60"/>
        <v>43242</v>
      </c>
      <c r="P62" s="55">
        <v>65</v>
      </c>
      <c r="Q62" s="56">
        <f t="shared" ca="1" si="100"/>
        <v>323.98184535832138</v>
      </c>
      <c r="R62" s="28">
        <f t="shared" ca="1" si="81"/>
        <v>4.9460588900928046</v>
      </c>
      <c r="S62" s="28">
        <f t="shared" si="61"/>
        <v>0.87826606780564742</v>
      </c>
      <c r="T62" s="29">
        <f t="shared" ca="1" si="101"/>
        <v>4.343955692536972</v>
      </c>
      <c r="U62" s="16"/>
      <c r="V62" s="27">
        <v>6</v>
      </c>
      <c r="W62" s="30">
        <f t="shared" si="82"/>
        <v>43487</v>
      </c>
      <c r="X62" s="26">
        <f t="shared" si="62"/>
        <v>43242</v>
      </c>
      <c r="Y62" s="55">
        <v>65</v>
      </c>
      <c r="Z62" s="56">
        <f t="shared" ca="1" si="102"/>
        <v>307.8392174253961</v>
      </c>
      <c r="AA62" s="28">
        <f t="shared" ca="1" si="83"/>
        <v>4.6996179566238308</v>
      </c>
      <c r="AB62" s="28">
        <f t="shared" si="63"/>
        <v>0.87826606780564742</v>
      </c>
      <c r="AC62" s="29">
        <f t="shared" ca="1" si="103"/>
        <v>4.1275149829528237</v>
      </c>
      <c r="AD62" s="16"/>
      <c r="AE62" s="27">
        <v>6</v>
      </c>
      <c r="AF62" s="30">
        <f t="shared" si="84"/>
        <v>43487</v>
      </c>
      <c r="AG62" s="26">
        <f t="shared" si="64"/>
        <v>43242</v>
      </c>
      <c r="AH62" s="55">
        <v>65</v>
      </c>
      <c r="AI62" s="56">
        <f t="shared" ca="1" si="104"/>
        <v>323.95043948648373</v>
      </c>
      <c r="AJ62" s="28">
        <f t="shared" ca="1" si="85"/>
        <v>4.9455794333151202</v>
      </c>
      <c r="AK62" s="28">
        <f t="shared" si="65"/>
        <v>0.87826606780564742</v>
      </c>
      <c r="AL62" s="29">
        <f t="shared" ca="1" si="105"/>
        <v>4.3435346019181527</v>
      </c>
      <c r="AM62" s="33"/>
      <c r="AN62" s="27">
        <v>6</v>
      </c>
      <c r="AO62" s="30">
        <f t="shared" si="86"/>
        <v>43487</v>
      </c>
      <c r="AP62" s="26">
        <f t="shared" si="66"/>
        <v>43242</v>
      </c>
      <c r="AQ62" s="55">
        <v>65</v>
      </c>
      <c r="AR62" s="56">
        <f t="shared" ca="1" si="106"/>
        <v>297.2838641550058</v>
      </c>
      <c r="AS62" s="28">
        <f t="shared" ca="1" si="87"/>
        <v>4.5384749801606183</v>
      </c>
      <c r="AT62" s="28">
        <f t="shared" si="67"/>
        <v>0.87826606780564742</v>
      </c>
      <c r="AU62" s="29">
        <f t="shared" ca="1" si="107"/>
        <v>3.9859885746599799</v>
      </c>
      <c r="AV62" s="33"/>
      <c r="AW62" s="27">
        <v>6</v>
      </c>
      <c r="AX62" s="30">
        <f t="shared" si="88"/>
        <v>43487</v>
      </c>
      <c r="AY62" s="26">
        <f t="shared" si="68"/>
        <v>43242</v>
      </c>
      <c r="AZ62" s="55">
        <v>65</v>
      </c>
      <c r="BA62" s="56">
        <f t="shared" ca="1" si="108"/>
        <v>344.43565430119793</v>
      </c>
      <c r="BB62" s="28">
        <f t="shared" ca="1" si="89"/>
        <v>5.2583163360193987</v>
      </c>
      <c r="BC62" s="28">
        <f t="shared" si="69"/>
        <v>0.87826606780564742</v>
      </c>
      <c r="BD62" s="29">
        <f t="shared" ca="1" si="109"/>
        <v>4.6182008117139564</v>
      </c>
      <c r="BE62" s="33"/>
      <c r="BF62" s="27">
        <v>6</v>
      </c>
      <c r="BG62" s="30">
        <f t="shared" si="90"/>
        <v>43487</v>
      </c>
      <c r="BH62" s="26">
        <f t="shared" si="70"/>
        <v>43242</v>
      </c>
      <c r="BI62" s="55">
        <v>65</v>
      </c>
      <c r="BJ62" s="56">
        <f t="shared" ca="1" si="110"/>
        <v>309.58480547941531</v>
      </c>
      <c r="BK62" s="28">
        <f t="shared" ca="1" si="91"/>
        <v>4.7262669230295637</v>
      </c>
      <c r="BL62" s="28">
        <f t="shared" si="71"/>
        <v>0.87826606780564742</v>
      </c>
      <c r="BM62" s="29">
        <f t="shared" ca="1" si="111"/>
        <v>4.1509198658890716</v>
      </c>
      <c r="BN62" s="33"/>
      <c r="BO62" s="27">
        <v>6</v>
      </c>
      <c r="BP62" s="30">
        <f t="shared" si="92"/>
        <v>43487</v>
      </c>
      <c r="BQ62" s="26">
        <f t="shared" si="72"/>
        <v>43242</v>
      </c>
      <c r="BR62" s="55">
        <v>65</v>
      </c>
      <c r="BS62" s="56">
        <f t="shared" ca="1" si="112"/>
        <v>344.73641941511602</v>
      </c>
      <c r="BT62" s="28">
        <f t="shared" ca="1" si="93"/>
        <v>5.2629079573921302</v>
      </c>
      <c r="BU62" s="28">
        <f t="shared" si="73"/>
        <v>0.87826606780564742</v>
      </c>
      <c r="BV62" s="29">
        <f t="shared" ca="1" si="113"/>
        <v>4.6222334769618376</v>
      </c>
      <c r="BW62" s="33"/>
      <c r="BX62" s="27">
        <v>6</v>
      </c>
      <c r="BY62" s="30">
        <f t="shared" si="94"/>
        <v>43487</v>
      </c>
      <c r="BZ62" s="26">
        <f t="shared" si="74"/>
        <v>43242</v>
      </c>
      <c r="CA62" s="55">
        <v>65</v>
      </c>
      <c r="CB62" s="56">
        <f t="shared" ca="1" si="114"/>
        <v>299.82182385021588</v>
      </c>
      <c r="CC62" s="28">
        <f t="shared" ca="1" si="95"/>
        <v>4.5772206638865303</v>
      </c>
      <c r="CD62" s="28">
        <f t="shared" si="75"/>
        <v>0.87826606780564742</v>
      </c>
      <c r="CE62" s="29">
        <f t="shared" ca="1" si="115"/>
        <v>4.0200175939503779</v>
      </c>
      <c r="CF62" s="33"/>
      <c r="CG62" s="27">
        <v>6</v>
      </c>
      <c r="CH62" s="30">
        <f t="shared" si="96"/>
        <v>43487</v>
      </c>
      <c r="CI62" s="26">
        <f t="shared" si="76"/>
        <v>43242</v>
      </c>
      <c r="CJ62" s="55">
        <v>65</v>
      </c>
      <c r="CK62" s="56">
        <f t="shared" ca="1" si="116"/>
        <v>242.17199845655088</v>
      </c>
      <c r="CL62" s="28">
        <f t="shared" ca="1" si="97"/>
        <v>3.6971113754007119</v>
      </c>
      <c r="CM62" s="28">
        <f t="shared" si="77"/>
        <v>0.87826606780564742</v>
      </c>
      <c r="CN62" s="29">
        <f t="shared" ca="1" si="117"/>
        <v>3.2470474699127121</v>
      </c>
      <c r="CO62" s="33"/>
      <c r="CP62" s="27">
        <v>6</v>
      </c>
      <c r="CQ62" s="30">
        <f t="shared" si="98"/>
        <v>43487</v>
      </c>
      <c r="CR62" s="26">
        <f t="shared" si="78"/>
        <v>43242</v>
      </c>
      <c r="CS62" s="55">
        <v>65</v>
      </c>
      <c r="CT62" s="56">
        <f t="shared" ca="1" si="118"/>
        <v>343.73684341246286</v>
      </c>
      <c r="CU62" s="28">
        <f t="shared" ca="1" si="99"/>
        <v>5.2476479610525884</v>
      </c>
      <c r="CV62" s="28">
        <f t="shared" si="79"/>
        <v>0.87826606780564742</v>
      </c>
      <c r="CW62" s="29">
        <f t="shared" ca="1" si="119"/>
        <v>4.6088311399819801</v>
      </c>
      <c r="CX62" s="33"/>
      <c r="CY62" s="33"/>
    </row>
    <row r="63" spans="1:103" ht="15.5" x14ac:dyDescent="0.35">
      <c r="A63" s="16"/>
      <c r="B63" s="16"/>
      <c r="C63" s="16"/>
      <c r="D63" s="16"/>
      <c r="E63" s="16"/>
      <c r="F63" s="16"/>
      <c r="G63" s="16"/>
      <c r="H63" s="16"/>
      <c r="I63" s="16"/>
      <c r="J63" s="16"/>
      <c r="K63" s="16"/>
      <c r="L63" s="16"/>
      <c r="M63" s="27">
        <v>6.5</v>
      </c>
      <c r="N63" s="30">
        <f t="shared" si="80"/>
        <v>43668</v>
      </c>
      <c r="O63" s="26">
        <f t="shared" si="60"/>
        <v>43426</v>
      </c>
      <c r="P63" s="55">
        <v>71</v>
      </c>
      <c r="Q63" s="56">
        <f t="shared" ca="1" si="100"/>
        <v>332.22260881400695</v>
      </c>
      <c r="R63" s="28">
        <f t="shared" ca="1" si="81"/>
        <v>5.0718662522493663</v>
      </c>
      <c r="S63" s="28">
        <f t="shared" si="61"/>
        <v>0.86881693828035056</v>
      </c>
      <c r="T63" s="29">
        <f t="shared" ca="1" si="101"/>
        <v>4.4065233086467304</v>
      </c>
      <c r="U63" s="16"/>
      <c r="V63" s="27">
        <v>6.5</v>
      </c>
      <c r="W63" s="30">
        <f t="shared" si="82"/>
        <v>43668</v>
      </c>
      <c r="X63" s="26">
        <f t="shared" si="62"/>
        <v>43426</v>
      </c>
      <c r="Y63" s="55">
        <v>71</v>
      </c>
      <c r="Z63" s="56">
        <f t="shared" ca="1" si="102"/>
        <v>314.18361111554822</v>
      </c>
      <c r="AA63" s="28">
        <f t="shared" ca="1" si="83"/>
        <v>4.7964744480075368</v>
      </c>
      <c r="AB63" s="28">
        <f t="shared" si="63"/>
        <v>0.86881693828035056</v>
      </c>
      <c r="AC63" s="29">
        <f t="shared" ca="1" si="103"/>
        <v>4.1672582444578428</v>
      </c>
      <c r="AD63" s="16"/>
      <c r="AE63" s="27">
        <v>6.5</v>
      </c>
      <c r="AF63" s="30">
        <f t="shared" si="84"/>
        <v>43668</v>
      </c>
      <c r="AG63" s="26">
        <f t="shared" si="64"/>
        <v>43426</v>
      </c>
      <c r="AH63" s="55">
        <v>71</v>
      </c>
      <c r="AI63" s="56">
        <f t="shared" ca="1" si="104"/>
        <v>332.18743152129821</v>
      </c>
      <c r="AJ63" s="28">
        <f t="shared" ca="1" si="85"/>
        <v>5.0713292191908037</v>
      </c>
      <c r="AK63" s="28">
        <f t="shared" si="65"/>
        <v>0.86881693828035056</v>
      </c>
      <c r="AL63" s="29">
        <f t="shared" ca="1" si="105"/>
        <v>4.4060567252290346</v>
      </c>
      <c r="AM63" s="33"/>
      <c r="AN63" s="27">
        <v>6.5</v>
      </c>
      <c r="AO63" s="30">
        <f t="shared" si="86"/>
        <v>43668</v>
      </c>
      <c r="AP63" s="26">
        <f t="shared" si="66"/>
        <v>43426</v>
      </c>
      <c r="AQ63" s="55">
        <v>71</v>
      </c>
      <c r="AR63" s="56">
        <f t="shared" ca="1" si="106"/>
        <v>302.43511577552363</v>
      </c>
      <c r="AS63" s="28">
        <f t="shared" ca="1" si="87"/>
        <v>4.617116404789174</v>
      </c>
      <c r="AT63" s="28">
        <f t="shared" si="67"/>
        <v>0.86881693828035056</v>
      </c>
      <c r="AU63" s="29">
        <f t="shared" ca="1" si="107"/>
        <v>4.0114289384929096</v>
      </c>
      <c r="AV63" s="33"/>
      <c r="AW63" s="27">
        <v>6.5</v>
      </c>
      <c r="AX63" s="30">
        <f t="shared" si="88"/>
        <v>43668</v>
      </c>
      <c r="AY63" s="26">
        <f t="shared" si="68"/>
        <v>43426</v>
      </c>
      <c r="AZ63" s="55">
        <v>71</v>
      </c>
      <c r="BA63" s="56">
        <f t="shared" ca="1" si="108"/>
        <v>355.19826406549595</v>
      </c>
      <c r="BB63" s="28">
        <f t="shared" ca="1" si="89"/>
        <v>5.4226233873803507</v>
      </c>
      <c r="BC63" s="28">
        <f t="shared" si="69"/>
        <v>0.86881693828035056</v>
      </c>
      <c r="BD63" s="29">
        <f t="shared" ca="1" si="109"/>
        <v>4.7112670488712194</v>
      </c>
      <c r="BE63" s="33"/>
      <c r="BF63" s="27">
        <v>6.5</v>
      </c>
      <c r="BG63" s="30">
        <f t="shared" si="90"/>
        <v>43668</v>
      </c>
      <c r="BH63" s="26">
        <f t="shared" si="70"/>
        <v>43426</v>
      </c>
      <c r="BI63" s="55">
        <v>71</v>
      </c>
      <c r="BJ63" s="56">
        <f t="shared" ca="1" si="110"/>
        <v>316.13013521619013</v>
      </c>
      <c r="BK63" s="28">
        <f t="shared" ca="1" si="91"/>
        <v>4.8261909983966849</v>
      </c>
      <c r="BL63" s="28">
        <f t="shared" si="71"/>
        <v>0.86881693828035056</v>
      </c>
      <c r="BM63" s="29">
        <f t="shared" ca="1" si="111"/>
        <v>4.1930764867831956</v>
      </c>
      <c r="BN63" s="33"/>
      <c r="BO63" s="27">
        <v>6.5</v>
      </c>
      <c r="BP63" s="30">
        <f t="shared" si="92"/>
        <v>43668</v>
      </c>
      <c r="BQ63" s="26">
        <f t="shared" si="72"/>
        <v>43426</v>
      </c>
      <c r="BR63" s="55">
        <v>71</v>
      </c>
      <c r="BS63" s="56">
        <f t="shared" ca="1" si="112"/>
        <v>355.53707130692197</v>
      </c>
      <c r="BT63" s="28">
        <f t="shared" ca="1" si="93"/>
        <v>5.4277957777241053</v>
      </c>
      <c r="BU63" s="28">
        <f t="shared" si="73"/>
        <v>0.86881693828035056</v>
      </c>
      <c r="BV63" s="29">
        <f t="shared" ca="1" si="113"/>
        <v>4.7157609092132713</v>
      </c>
      <c r="BW63" s="33"/>
      <c r="BX63" s="27">
        <v>6.5</v>
      </c>
      <c r="BY63" s="30">
        <f t="shared" si="94"/>
        <v>43668</v>
      </c>
      <c r="BZ63" s="26">
        <f t="shared" si="74"/>
        <v>43426</v>
      </c>
      <c r="CA63" s="55">
        <v>71</v>
      </c>
      <c r="CB63" s="56">
        <f t="shared" ca="1" si="114"/>
        <v>305.25649354085527</v>
      </c>
      <c r="CC63" s="28">
        <f t="shared" ca="1" si="95"/>
        <v>4.6601888817765662</v>
      </c>
      <c r="CD63" s="28">
        <f t="shared" si="75"/>
        <v>0.86881693828035056</v>
      </c>
      <c r="CE63" s="29">
        <f t="shared" ca="1" si="115"/>
        <v>4.0488510360732466</v>
      </c>
      <c r="CF63" s="33"/>
      <c r="CG63" s="27">
        <v>6.5</v>
      </c>
      <c r="CH63" s="30">
        <f t="shared" si="96"/>
        <v>43668</v>
      </c>
      <c r="CI63" s="26">
        <f t="shared" si="76"/>
        <v>43426</v>
      </c>
      <c r="CJ63" s="55">
        <v>71</v>
      </c>
      <c r="CK63" s="56">
        <f t="shared" ca="1" si="116"/>
        <v>241.74919852979608</v>
      </c>
      <c r="CL63" s="28">
        <f t="shared" ca="1" si="97"/>
        <v>3.6906567133064723</v>
      </c>
      <c r="CM63" s="28">
        <f t="shared" si="77"/>
        <v>0.86881693828035056</v>
      </c>
      <c r="CN63" s="29">
        <f t="shared" ca="1" si="117"/>
        <v>3.2065050658987508</v>
      </c>
      <c r="CO63" s="33"/>
      <c r="CP63" s="27">
        <v>6.5</v>
      </c>
      <c r="CQ63" s="30">
        <f t="shared" si="98"/>
        <v>43668</v>
      </c>
      <c r="CR63" s="26">
        <f t="shared" si="78"/>
        <v>43426</v>
      </c>
      <c r="CS63" s="55">
        <v>71</v>
      </c>
      <c r="CT63" s="56">
        <f t="shared" ca="1" si="118"/>
        <v>354.41116989667461</v>
      </c>
      <c r="CU63" s="28">
        <f t="shared" ca="1" si="99"/>
        <v>5.4106072384299884</v>
      </c>
      <c r="CV63" s="28">
        <f t="shared" si="79"/>
        <v>0.86881693828035056</v>
      </c>
      <c r="CW63" s="29">
        <f t="shared" ca="1" si="119"/>
        <v>4.7008272151302455</v>
      </c>
      <c r="CX63" s="33"/>
      <c r="CY63" s="33"/>
    </row>
    <row r="64" spans="1:103" ht="15.5" x14ac:dyDescent="0.35">
      <c r="A64" s="16"/>
      <c r="B64" s="16"/>
      <c r="C64" s="16"/>
      <c r="D64" s="16"/>
      <c r="E64" s="16"/>
      <c r="F64" s="16"/>
      <c r="G64" s="16"/>
      <c r="H64" s="16"/>
      <c r="I64" s="16"/>
      <c r="J64" s="16"/>
      <c r="K64" s="16"/>
      <c r="L64" s="16"/>
      <c r="M64" s="27">
        <v>7</v>
      </c>
      <c r="N64" s="30">
        <f t="shared" si="80"/>
        <v>43852</v>
      </c>
      <c r="O64" s="26">
        <f t="shared" si="60"/>
        <v>43607</v>
      </c>
      <c r="P64" s="55">
        <v>77</v>
      </c>
      <c r="Q64" s="56">
        <f t="shared" ca="1" si="100"/>
        <v>340.67298334298408</v>
      </c>
      <c r="R64" s="28">
        <f t="shared" ca="1" si="81"/>
        <v>5.2008736354175031</v>
      </c>
      <c r="S64" s="28">
        <f t="shared" si="61"/>
        <v>0.85946947048611599</v>
      </c>
      <c r="T64" s="29">
        <f t="shared" ca="1" si="101"/>
        <v>4.4699921094974826</v>
      </c>
      <c r="U64" s="16"/>
      <c r="V64" s="27">
        <v>7</v>
      </c>
      <c r="W64" s="30">
        <f t="shared" si="82"/>
        <v>43852</v>
      </c>
      <c r="X64" s="26">
        <f t="shared" si="62"/>
        <v>43607</v>
      </c>
      <c r="Y64" s="55">
        <v>77</v>
      </c>
      <c r="Z64" s="56">
        <f t="shared" ca="1" si="102"/>
        <v>320.65875920285697</v>
      </c>
      <c r="AA64" s="28">
        <f t="shared" ca="1" si="83"/>
        <v>4.8953270973789236</v>
      </c>
      <c r="AB64" s="28">
        <f t="shared" si="63"/>
        <v>0.85946947048611599</v>
      </c>
      <c r="AC64" s="29">
        <f t="shared" ca="1" si="103"/>
        <v>4.2073841882405985</v>
      </c>
      <c r="AD64" s="16"/>
      <c r="AE64" s="27">
        <v>7</v>
      </c>
      <c r="AF64" s="30">
        <f t="shared" si="84"/>
        <v>43852</v>
      </c>
      <c r="AG64" s="26">
        <f t="shared" si="64"/>
        <v>43607</v>
      </c>
      <c r="AH64" s="55">
        <v>77</v>
      </c>
      <c r="AI64" s="56">
        <f t="shared" ca="1" si="104"/>
        <v>340.63386311695774</v>
      </c>
      <c r="AJ64" s="28">
        <f t="shared" ca="1" si="85"/>
        <v>5.200276407688567</v>
      </c>
      <c r="AK64" s="28">
        <f t="shared" si="65"/>
        <v>0.85946947048611599</v>
      </c>
      <c r="AL64" s="29">
        <f t="shared" ca="1" si="105"/>
        <v>4.4694788104975345</v>
      </c>
      <c r="AM64" s="33"/>
      <c r="AN64" s="27">
        <v>7</v>
      </c>
      <c r="AO64" s="30">
        <f t="shared" si="86"/>
        <v>43852</v>
      </c>
      <c r="AP64" s="26">
        <f t="shared" si="66"/>
        <v>43607</v>
      </c>
      <c r="AQ64" s="55">
        <v>77</v>
      </c>
      <c r="AR64" s="56">
        <f t="shared" ca="1" si="106"/>
        <v>307.67562684284434</v>
      </c>
      <c r="AS64" s="28">
        <f t="shared" ca="1" si="87"/>
        <v>4.697120506020477</v>
      </c>
      <c r="AT64" s="28">
        <f t="shared" si="67"/>
        <v>0.85946947048611599</v>
      </c>
      <c r="AU64" s="29">
        <f t="shared" ca="1" si="107"/>
        <v>4.0370316741188965</v>
      </c>
      <c r="AV64" s="33"/>
      <c r="AW64" s="27">
        <v>7</v>
      </c>
      <c r="AX64" s="30">
        <f t="shared" si="88"/>
        <v>43852</v>
      </c>
      <c r="AY64" s="26">
        <f t="shared" si="68"/>
        <v>43607</v>
      </c>
      <c r="AZ64" s="55">
        <v>77</v>
      </c>
      <c r="BA64" s="56">
        <f t="shared" ca="1" si="108"/>
        <v>366.29717399933827</v>
      </c>
      <c r="BB64" s="28">
        <f t="shared" ca="1" si="89"/>
        <v>5.5920645549491876</v>
      </c>
      <c r="BC64" s="28">
        <f t="shared" si="69"/>
        <v>0.85946947048611599</v>
      </c>
      <c r="BD64" s="29">
        <f t="shared" ca="1" si="109"/>
        <v>4.8062087619663565</v>
      </c>
      <c r="BE64" s="33"/>
      <c r="BF64" s="27">
        <v>7</v>
      </c>
      <c r="BG64" s="30">
        <f t="shared" si="90"/>
        <v>43852</v>
      </c>
      <c r="BH64" s="26">
        <f t="shared" si="70"/>
        <v>43607</v>
      </c>
      <c r="BI64" s="55">
        <v>77</v>
      </c>
      <c r="BJ64" s="56">
        <f t="shared" ca="1" si="110"/>
        <v>322.81384817011531</v>
      </c>
      <c r="BK64" s="28">
        <f t="shared" ca="1" si="91"/>
        <v>4.9282276968975784</v>
      </c>
      <c r="BL64" s="28">
        <f t="shared" si="71"/>
        <v>0.85946947048611599</v>
      </c>
      <c r="BM64" s="29">
        <f t="shared" ca="1" si="111"/>
        <v>4.2356612490875731</v>
      </c>
      <c r="BN64" s="33"/>
      <c r="BO64" s="27">
        <v>7</v>
      </c>
      <c r="BP64" s="30">
        <f t="shared" si="92"/>
        <v>43852</v>
      </c>
      <c r="BQ64" s="26">
        <f t="shared" si="72"/>
        <v>43607</v>
      </c>
      <c r="BR64" s="55">
        <v>77</v>
      </c>
      <c r="BS64" s="56">
        <f t="shared" ca="1" si="112"/>
        <v>366.67610949828361</v>
      </c>
      <c r="BT64" s="28">
        <f t="shared" ca="1" si="93"/>
        <v>5.5978495621037005</v>
      </c>
      <c r="BU64" s="28">
        <f t="shared" si="73"/>
        <v>0.85946947048611599</v>
      </c>
      <c r="BV64" s="29">
        <f t="shared" ca="1" si="113"/>
        <v>4.8111807990022042</v>
      </c>
      <c r="BW64" s="33"/>
      <c r="BX64" s="27">
        <v>7</v>
      </c>
      <c r="BY64" s="30">
        <f t="shared" si="94"/>
        <v>43852</v>
      </c>
      <c r="BZ64" s="26">
        <f t="shared" si="74"/>
        <v>43607</v>
      </c>
      <c r="CA64" s="55">
        <v>77</v>
      </c>
      <c r="CB64" s="56">
        <f t="shared" ca="1" si="114"/>
        <v>310.78967385446094</v>
      </c>
      <c r="CC64" s="28">
        <f t="shared" ca="1" si="95"/>
        <v>4.7446610090660677</v>
      </c>
      <c r="CD64" s="28">
        <f t="shared" si="75"/>
        <v>0.85946947048611599</v>
      </c>
      <c r="CE64" s="29">
        <f t="shared" ca="1" si="115"/>
        <v>4.0778912850981337</v>
      </c>
      <c r="CF64" s="33"/>
      <c r="CG64" s="27">
        <v>7</v>
      </c>
      <c r="CH64" s="30">
        <f t="shared" si="96"/>
        <v>43852</v>
      </c>
      <c r="CI64" s="26">
        <f t="shared" si="76"/>
        <v>43607</v>
      </c>
      <c r="CJ64" s="55">
        <v>77</v>
      </c>
      <c r="CK64" s="56">
        <f t="shared" ca="1" si="116"/>
        <v>241.3271367551778</v>
      </c>
      <c r="CL64" s="28">
        <f t="shared" ca="1" si="97"/>
        <v>3.6842133201891505</v>
      </c>
      <c r="CM64" s="28">
        <f t="shared" si="77"/>
        <v>0.85946947048611599</v>
      </c>
      <c r="CN64" s="29">
        <f t="shared" ca="1" si="117"/>
        <v>3.1664688714608644</v>
      </c>
      <c r="CO64" s="33"/>
      <c r="CP64" s="27">
        <v>7</v>
      </c>
      <c r="CQ64" s="30">
        <f t="shared" si="98"/>
        <v>43852</v>
      </c>
      <c r="CR64" s="26">
        <f t="shared" si="78"/>
        <v>43607</v>
      </c>
      <c r="CS64" s="55">
        <v>77</v>
      </c>
      <c r="CT64" s="56">
        <f t="shared" ca="1" si="118"/>
        <v>365.41697451037743</v>
      </c>
      <c r="CU64" s="28">
        <f t="shared" ca="1" si="99"/>
        <v>5.5786270164889231</v>
      </c>
      <c r="CV64" s="28">
        <f t="shared" si="79"/>
        <v>0.85946947048611599</v>
      </c>
      <c r="CW64" s="29">
        <f t="shared" ca="1" si="119"/>
        <v>4.7946596079012762</v>
      </c>
      <c r="CX64" s="33"/>
      <c r="CY64" s="33"/>
    </row>
    <row r="65" spans="1:103" ht="15.5" x14ac:dyDescent="0.35">
      <c r="A65" s="16"/>
      <c r="B65" s="16"/>
      <c r="C65" s="16"/>
      <c r="D65" s="16"/>
      <c r="E65" s="16"/>
      <c r="F65" s="16"/>
      <c r="G65" s="16"/>
      <c r="H65" s="16"/>
      <c r="I65" s="16"/>
      <c r="J65" s="16"/>
      <c r="K65" s="16"/>
      <c r="L65" s="16"/>
      <c r="M65" s="27">
        <v>7.5</v>
      </c>
      <c r="N65" s="30">
        <f t="shared" si="80"/>
        <v>44034</v>
      </c>
      <c r="O65" s="26">
        <f t="shared" si="60"/>
        <v>43791</v>
      </c>
      <c r="P65" s="55">
        <v>83</v>
      </c>
      <c r="Q65" s="56">
        <f t="shared" ca="1" si="100"/>
        <v>349.33830058743422</v>
      </c>
      <c r="R65" s="28">
        <f t="shared" ca="1" si="81"/>
        <v>5.333162434948802</v>
      </c>
      <c r="S65" s="28">
        <f t="shared" si="61"/>
        <v>0.85022257066001594</v>
      </c>
      <c r="T65" s="29">
        <f t="shared" ca="1" si="101"/>
        <v>4.5343750751896001</v>
      </c>
      <c r="U65" s="16"/>
      <c r="V65" s="27">
        <v>7.5</v>
      </c>
      <c r="W65" s="30">
        <f t="shared" si="82"/>
        <v>44034</v>
      </c>
      <c r="X65" s="26">
        <f t="shared" si="62"/>
        <v>43791</v>
      </c>
      <c r="Y65" s="55">
        <v>83</v>
      </c>
      <c r="Z65" s="56">
        <f t="shared" ca="1" si="102"/>
        <v>327.26735646214422</v>
      </c>
      <c r="AA65" s="28">
        <f t="shared" ca="1" si="83"/>
        <v>4.9962170444350296</v>
      </c>
      <c r="AB65" s="28">
        <f t="shared" si="63"/>
        <v>0.85022257066001594</v>
      </c>
      <c r="AC65" s="29">
        <f t="shared" ca="1" si="103"/>
        <v>4.2478964990949377</v>
      </c>
      <c r="AD65" s="16"/>
      <c r="AE65" s="27">
        <v>7.5</v>
      </c>
      <c r="AF65" s="30">
        <f t="shared" si="84"/>
        <v>44034</v>
      </c>
      <c r="AG65" s="26">
        <f t="shared" si="64"/>
        <v>43791</v>
      </c>
      <c r="AH65" s="55">
        <v>83</v>
      </c>
      <c r="AI65" s="56">
        <f t="shared" ca="1" si="104"/>
        <v>349.29505963124609</v>
      </c>
      <c r="AJ65" s="28">
        <f t="shared" ca="1" si="85"/>
        <v>5.3325022982194303</v>
      </c>
      <c r="AK65" s="28">
        <f t="shared" si="65"/>
        <v>0.85022257066001594</v>
      </c>
      <c r="AL65" s="29">
        <f t="shared" ca="1" si="105"/>
        <v>4.5338138120425668</v>
      </c>
      <c r="AM65" s="33"/>
      <c r="AN65" s="27">
        <v>7.5</v>
      </c>
      <c r="AO65" s="30">
        <f t="shared" si="86"/>
        <v>44034</v>
      </c>
      <c r="AP65" s="26">
        <f t="shared" si="66"/>
        <v>43791</v>
      </c>
      <c r="AQ65" s="55">
        <v>83</v>
      </c>
      <c r="AR65" s="56">
        <f t="shared" ca="1" si="106"/>
        <v>313.00694401968798</v>
      </c>
      <c r="AS65" s="28">
        <f t="shared" ca="1" si="87"/>
        <v>4.7785108959334304</v>
      </c>
      <c r="AT65" s="28">
        <f t="shared" si="67"/>
        <v>0.85022257066001594</v>
      </c>
      <c r="AU65" s="29">
        <f t="shared" ca="1" si="107"/>
        <v>4.0627978178674171</v>
      </c>
      <c r="AV65" s="33"/>
      <c r="AW65" s="27">
        <v>7.5</v>
      </c>
      <c r="AX65" s="30">
        <f t="shared" si="88"/>
        <v>44034</v>
      </c>
      <c r="AY65" s="26">
        <f t="shared" si="68"/>
        <v>43791</v>
      </c>
      <c r="AZ65" s="55">
        <v>83</v>
      </c>
      <c r="BA65" s="56">
        <f t="shared" ca="1" si="108"/>
        <v>377.74289250231476</v>
      </c>
      <c r="BB65" s="28">
        <f t="shared" ca="1" si="89"/>
        <v>5.7668002648854495</v>
      </c>
      <c r="BC65" s="28">
        <f t="shared" si="69"/>
        <v>0.85022257066001594</v>
      </c>
      <c r="BD65" s="29">
        <f t="shared" ca="1" si="109"/>
        <v>4.9030637456937676</v>
      </c>
      <c r="BE65" s="33"/>
      <c r="BF65" s="27">
        <v>7.5</v>
      </c>
      <c r="BG65" s="30">
        <f t="shared" si="90"/>
        <v>44034</v>
      </c>
      <c r="BH65" s="26">
        <f t="shared" si="70"/>
        <v>43791</v>
      </c>
      <c r="BI65" s="55">
        <v>83</v>
      </c>
      <c r="BJ65" s="56">
        <f t="shared" ca="1" si="110"/>
        <v>329.63887007840481</v>
      </c>
      <c r="BK65" s="28">
        <f t="shared" ca="1" si="91"/>
        <v>5.0324216842095479</v>
      </c>
      <c r="BL65" s="28">
        <f t="shared" si="71"/>
        <v>0.85022257066001594</v>
      </c>
      <c r="BM65" s="29">
        <f t="shared" ca="1" si="111"/>
        <v>4.2786785009938484</v>
      </c>
      <c r="BN65" s="33"/>
      <c r="BO65" s="27">
        <v>7.5</v>
      </c>
      <c r="BP65" s="30">
        <f t="shared" si="92"/>
        <v>44034</v>
      </c>
      <c r="BQ65" s="26">
        <f t="shared" si="72"/>
        <v>43791</v>
      </c>
      <c r="BR65" s="55">
        <v>83</v>
      </c>
      <c r="BS65" s="56">
        <f t="shared" ca="1" si="112"/>
        <v>378.16413569073472</v>
      </c>
      <c r="BT65" s="28">
        <f t="shared" ca="1" si="93"/>
        <v>5.7732311610817204</v>
      </c>
      <c r="BU65" s="28">
        <f t="shared" si="73"/>
        <v>0.85022257066001594</v>
      </c>
      <c r="BV65" s="29">
        <f t="shared" ca="1" si="113"/>
        <v>4.9085314387894092</v>
      </c>
      <c r="BW65" s="33"/>
      <c r="BX65" s="27">
        <v>7.5</v>
      </c>
      <c r="BY65" s="30">
        <f t="shared" si="94"/>
        <v>44034</v>
      </c>
      <c r="BZ65" s="26">
        <f t="shared" si="74"/>
        <v>43791</v>
      </c>
      <c r="CA65" s="55">
        <v>83</v>
      </c>
      <c r="CB65" s="56">
        <f t="shared" ca="1" si="114"/>
        <v>316.42315042721498</v>
      </c>
      <c r="CC65" s="28">
        <f t="shared" ca="1" si="95"/>
        <v>4.8306643061149588</v>
      </c>
      <c r="CD65" s="28">
        <f t="shared" si="75"/>
        <v>0.85022257066001594</v>
      </c>
      <c r="CE65" s="29">
        <f t="shared" ca="1" si="115"/>
        <v>4.1071398243406421</v>
      </c>
      <c r="CF65" s="33"/>
      <c r="CG65" s="27">
        <v>7.5</v>
      </c>
      <c r="CH65" s="30">
        <f t="shared" si="96"/>
        <v>44034</v>
      </c>
      <c r="CI65" s="26">
        <f t="shared" si="76"/>
        <v>43791</v>
      </c>
      <c r="CJ65" s="55">
        <v>83</v>
      </c>
      <c r="CK65" s="56">
        <f t="shared" ca="1" si="116"/>
        <v>240.9058118439811</v>
      </c>
      <c r="CL65" s="28">
        <f t="shared" ca="1" si="97"/>
        <v>3.6777811763746189</v>
      </c>
      <c r="CM65" s="28">
        <f t="shared" si="77"/>
        <v>0.85022257066001594</v>
      </c>
      <c r="CN65" s="29">
        <f t="shared" ca="1" si="117"/>
        <v>3.126932566102246</v>
      </c>
      <c r="CO65" s="33"/>
      <c r="CP65" s="27">
        <v>7.5</v>
      </c>
      <c r="CQ65" s="30">
        <f t="shared" si="98"/>
        <v>44034</v>
      </c>
      <c r="CR65" s="26">
        <f t="shared" si="78"/>
        <v>43791</v>
      </c>
      <c r="CS65" s="55">
        <v>83</v>
      </c>
      <c r="CT65" s="56">
        <f t="shared" ca="1" si="118"/>
        <v>376.76455090071562</v>
      </c>
      <c r="CU65" s="28">
        <f t="shared" ca="1" si="99"/>
        <v>5.7518644428773209</v>
      </c>
      <c r="CV65" s="28">
        <f t="shared" si="79"/>
        <v>0.85022257066001594</v>
      </c>
      <c r="CW65" s="29">
        <f t="shared" ca="1" si="119"/>
        <v>4.8903649727110965</v>
      </c>
      <c r="CX65" s="33"/>
      <c r="CY65" s="33"/>
    </row>
    <row r="66" spans="1:103" ht="15.5" x14ac:dyDescent="0.35">
      <c r="A66" s="16"/>
      <c r="B66" s="16"/>
      <c r="C66" s="16"/>
      <c r="D66" s="16"/>
      <c r="E66" s="16"/>
      <c r="F66" s="16"/>
      <c r="G66" s="16"/>
      <c r="H66" s="16"/>
      <c r="I66" s="16"/>
      <c r="J66" s="16"/>
      <c r="K66" s="16"/>
      <c r="L66" s="16"/>
      <c r="M66" s="27">
        <v>8</v>
      </c>
      <c r="N66" s="30">
        <f t="shared" si="80"/>
        <v>44218</v>
      </c>
      <c r="O66" s="26">
        <f t="shared" si="60"/>
        <v>43973</v>
      </c>
      <c r="P66" s="55">
        <v>89</v>
      </c>
      <c r="Q66" s="56">
        <f t="shared" ca="1" si="100"/>
        <v>358.22402780455121</v>
      </c>
      <c r="R66" s="28">
        <f t="shared" ca="1" si="81"/>
        <v>5.4688161165572682</v>
      </c>
      <c r="S66" s="28">
        <f t="shared" si="61"/>
        <v>0.84107515680675249</v>
      </c>
      <c r="T66" s="29">
        <f t="shared" ca="1" si="101"/>
        <v>4.5996853727806997</v>
      </c>
      <c r="U66" s="16"/>
      <c r="V66" s="27">
        <v>8</v>
      </c>
      <c r="W66" s="30">
        <f t="shared" si="82"/>
        <v>44218</v>
      </c>
      <c r="X66" s="26">
        <f t="shared" si="62"/>
        <v>43973</v>
      </c>
      <c r="Y66" s="55">
        <v>89</v>
      </c>
      <c r="Z66" s="56">
        <f t="shared" ca="1" si="102"/>
        <v>334.01215320603012</v>
      </c>
      <c r="AA66" s="28">
        <f t="shared" ca="1" si="83"/>
        <v>5.0991862767389868</v>
      </c>
      <c r="AB66" s="28">
        <f t="shared" si="63"/>
        <v>0.84107515680675249</v>
      </c>
      <c r="AC66" s="29">
        <f t="shared" ca="1" si="103"/>
        <v>4.2887988972950835</v>
      </c>
      <c r="AD66" s="16"/>
      <c r="AE66" s="27">
        <v>8</v>
      </c>
      <c r="AF66" s="30">
        <f t="shared" si="84"/>
        <v>44218</v>
      </c>
      <c r="AG66" s="26">
        <f t="shared" si="64"/>
        <v>43973</v>
      </c>
      <c r="AH66" s="55">
        <v>89</v>
      </c>
      <c r="AI66" s="56">
        <f t="shared" ca="1" si="104"/>
        <v>358.17648182824445</v>
      </c>
      <c r="AJ66" s="28">
        <f t="shared" ca="1" si="85"/>
        <v>5.4680902573704975</v>
      </c>
      <c r="AK66" s="28">
        <f t="shared" si="65"/>
        <v>0.84107515680675249</v>
      </c>
      <c r="AL66" s="29">
        <f t="shared" ca="1" si="105"/>
        <v>4.5990748706513669</v>
      </c>
      <c r="AM66" s="33"/>
      <c r="AN66" s="27">
        <v>8</v>
      </c>
      <c r="AO66" s="30">
        <f t="shared" si="86"/>
        <v>44218</v>
      </c>
      <c r="AP66" s="26">
        <f t="shared" si="66"/>
        <v>43973</v>
      </c>
      <c r="AQ66" s="55">
        <v>89</v>
      </c>
      <c r="AR66" s="56">
        <f t="shared" ca="1" si="106"/>
        <v>318.43064076891369</v>
      </c>
      <c r="AS66" s="28">
        <f t="shared" ca="1" si="87"/>
        <v>4.8613115957504407</v>
      </c>
      <c r="AT66" s="28">
        <f t="shared" si="67"/>
        <v>0.84107515680675249</v>
      </c>
      <c r="AU66" s="29">
        <f t="shared" ca="1" si="107"/>
        <v>4.0887284126822863</v>
      </c>
      <c r="AV66" s="33"/>
      <c r="AW66" s="27">
        <v>8</v>
      </c>
      <c r="AX66" s="30">
        <f t="shared" si="88"/>
        <v>44218</v>
      </c>
      <c r="AY66" s="26">
        <f t="shared" si="68"/>
        <v>43973</v>
      </c>
      <c r="AZ66" s="55">
        <v>89</v>
      </c>
      <c r="BA66" s="56">
        <f t="shared" ca="1" si="108"/>
        <v>389.54625633085868</v>
      </c>
      <c r="BB66" s="28">
        <f t="shared" ca="1" si="89"/>
        <v>5.946995956198343</v>
      </c>
      <c r="BC66" s="28">
        <f t="shared" si="69"/>
        <v>0.84107515680675249</v>
      </c>
      <c r="BD66" s="29">
        <f t="shared" ca="1" si="109"/>
        <v>5.0018705563886439</v>
      </c>
      <c r="BE66" s="33"/>
      <c r="BF66" s="27">
        <v>8</v>
      </c>
      <c r="BG66" s="30">
        <f t="shared" si="90"/>
        <v>44218</v>
      </c>
      <c r="BH66" s="26">
        <f t="shared" si="70"/>
        <v>43973</v>
      </c>
      <c r="BI66" s="55">
        <v>89</v>
      </c>
      <c r="BJ66" s="56">
        <f t="shared" ca="1" si="110"/>
        <v>336.60818853503849</v>
      </c>
      <c r="BK66" s="28">
        <f t="shared" ca="1" si="91"/>
        <v>5.1388185703443146</v>
      </c>
      <c r="BL66" s="28">
        <f t="shared" si="71"/>
        <v>0.84107515680675249</v>
      </c>
      <c r="BM66" s="29">
        <f t="shared" ca="1" si="111"/>
        <v>4.3221326348537961</v>
      </c>
      <c r="BN66" s="33"/>
      <c r="BO66" s="27">
        <v>8</v>
      </c>
      <c r="BP66" s="30">
        <f t="shared" si="92"/>
        <v>44218</v>
      </c>
      <c r="BQ66" s="26">
        <f t="shared" si="72"/>
        <v>43973</v>
      </c>
      <c r="BR66" s="55">
        <v>89</v>
      </c>
      <c r="BS66" s="56">
        <f t="shared" ca="1" si="112"/>
        <v>390.0120837389594</v>
      </c>
      <c r="BT66" s="28">
        <f t="shared" ca="1" si="93"/>
        <v>5.9541074960148315</v>
      </c>
      <c r="BU66" s="28">
        <f t="shared" si="73"/>
        <v>0.84107515680675249</v>
      </c>
      <c r="BV66" s="29">
        <f t="shared" ca="1" si="113"/>
        <v>5.0078518958549347</v>
      </c>
      <c r="BW66" s="33"/>
      <c r="BX66" s="27">
        <v>8</v>
      </c>
      <c r="BY66" s="30">
        <f t="shared" si="94"/>
        <v>44218</v>
      </c>
      <c r="BZ66" s="26">
        <f t="shared" si="74"/>
        <v>43973</v>
      </c>
      <c r="CA66" s="55">
        <v>89</v>
      </c>
      <c r="CB66" s="56">
        <f t="shared" ca="1" si="114"/>
        <v>322.15874126233223</v>
      </c>
      <c r="CC66" s="28">
        <f t="shared" ca="1" si="95"/>
        <v>4.9182265274134735</v>
      </c>
      <c r="CD66" s="28">
        <f t="shared" si="75"/>
        <v>0.84107515680675249</v>
      </c>
      <c r="CE66" s="29">
        <f t="shared" ca="1" si="115"/>
        <v>4.136598147755417</v>
      </c>
      <c r="CF66" s="33"/>
      <c r="CG66" s="27">
        <v>8</v>
      </c>
      <c r="CH66" s="30">
        <f t="shared" si="96"/>
        <v>44218</v>
      </c>
      <c r="CI66" s="26">
        <f t="shared" si="76"/>
        <v>43973</v>
      </c>
      <c r="CJ66" s="55">
        <v>89</v>
      </c>
      <c r="CK66" s="56">
        <f t="shared" ca="1" si="116"/>
        <v>240.48522250974096</v>
      </c>
      <c r="CL66" s="28">
        <f t="shared" ca="1" si="97"/>
        <v>3.6713602622230996</v>
      </c>
      <c r="CM66" s="28">
        <f t="shared" si="77"/>
        <v>0.84107515680675249</v>
      </c>
      <c r="CN66" s="29">
        <f t="shared" ca="1" si="117"/>
        <v>3.0878899082433735</v>
      </c>
      <c r="CO66" s="33"/>
      <c r="CP66" s="27">
        <v>8</v>
      </c>
      <c r="CQ66" s="30">
        <f t="shared" si="98"/>
        <v>44218</v>
      </c>
      <c r="CR66" s="26">
        <f t="shared" si="78"/>
        <v>43973</v>
      </c>
      <c r="CS66" s="55">
        <v>89</v>
      </c>
      <c r="CT66" s="56">
        <f t="shared" ca="1" si="118"/>
        <v>388.46451237143253</v>
      </c>
      <c r="CU66" s="28">
        <f t="shared" ca="1" si="99"/>
        <v>5.9304815452707595</v>
      </c>
      <c r="CV66" s="28">
        <f t="shared" si="79"/>
        <v>0.84107515680675249</v>
      </c>
      <c r="CW66" s="29">
        <f t="shared" ca="1" si="119"/>
        <v>4.9879806956281563</v>
      </c>
      <c r="CX66" s="33"/>
      <c r="CY66" s="33"/>
    </row>
    <row r="67" spans="1:103" ht="15.5" x14ac:dyDescent="0.35">
      <c r="A67" s="16"/>
      <c r="B67" s="16"/>
      <c r="C67" s="16"/>
      <c r="D67" s="16"/>
      <c r="E67" s="16"/>
      <c r="F67" s="16"/>
      <c r="G67" s="16"/>
      <c r="H67" s="16"/>
      <c r="I67" s="16"/>
      <c r="J67" s="16"/>
      <c r="K67" s="16"/>
      <c r="L67" s="16"/>
      <c r="M67" s="27">
        <v>8.5</v>
      </c>
      <c r="N67" s="30">
        <f t="shared" si="80"/>
        <v>44399</v>
      </c>
      <c r="O67" s="26">
        <f t="shared" si="60"/>
        <v>44157</v>
      </c>
      <c r="P67" s="55">
        <v>95</v>
      </c>
      <c r="Q67" s="56">
        <f t="shared" ca="1" si="100"/>
        <v>367.33577131602874</v>
      </c>
      <c r="R67" s="28">
        <f t="shared" ca="1" si="81"/>
        <v>5.6079202689808243</v>
      </c>
      <c r="S67" s="28">
        <f t="shared" si="61"/>
        <v>0.8320261585720452</v>
      </c>
      <c r="T67" s="29">
        <f t="shared" ca="1" si="101"/>
        <v>4.665936358978426</v>
      </c>
      <c r="U67" s="16"/>
      <c r="V67" s="27">
        <v>8.5</v>
      </c>
      <c r="W67" s="30">
        <f t="shared" si="82"/>
        <v>44399</v>
      </c>
      <c r="X67" s="26">
        <f t="shared" si="62"/>
        <v>44157</v>
      </c>
      <c r="Y67" s="55">
        <v>95</v>
      </c>
      <c r="Z67" s="56">
        <f t="shared" ca="1" si="102"/>
        <v>340.89595642953594</v>
      </c>
      <c r="AA67" s="28">
        <f t="shared" ca="1" si="83"/>
        <v>5.2042776471940631</v>
      </c>
      <c r="AB67" s="28">
        <f t="shared" si="63"/>
        <v>0.8320261585720452</v>
      </c>
      <c r="AC67" s="29">
        <f t="shared" ca="1" si="103"/>
        <v>4.3300951389372377</v>
      </c>
      <c r="AD67" s="16"/>
      <c r="AE67" s="27">
        <v>8.5</v>
      </c>
      <c r="AF67" s="30">
        <f t="shared" si="84"/>
        <v>44399</v>
      </c>
      <c r="AG67" s="26">
        <f t="shared" si="64"/>
        <v>44157</v>
      </c>
      <c r="AH67" s="55">
        <v>95</v>
      </c>
      <c r="AI67" s="56">
        <f t="shared" ca="1" si="104"/>
        <v>367.28372932126791</v>
      </c>
      <c r="AJ67" s="28">
        <f t="shared" ca="1" si="85"/>
        <v>5.6071257714664338</v>
      </c>
      <c r="AK67" s="28">
        <f t="shared" si="65"/>
        <v>0.8320261585720452</v>
      </c>
      <c r="AL67" s="29">
        <f t="shared" ca="1" si="105"/>
        <v>4.6652753162635321</v>
      </c>
      <c r="AM67" s="33"/>
      <c r="AN67" s="27">
        <v>8.5</v>
      </c>
      <c r="AO67" s="30">
        <f t="shared" si="86"/>
        <v>44399</v>
      </c>
      <c r="AP67" s="26">
        <f t="shared" si="66"/>
        <v>44157</v>
      </c>
      <c r="AQ67" s="55">
        <v>95</v>
      </c>
      <c r="AR67" s="56">
        <f t="shared" ca="1" si="106"/>
        <v>323.94831781790464</v>
      </c>
      <c r="AS67" s="28">
        <f t="shared" ca="1" si="87"/>
        <v>4.9455470429269308</v>
      </c>
      <c r="AT67" s="28">
        <f t="shared" si="67"/>
        <v>0.8320261585720452</v>
      </c>
      <c r="AU67" s="29">
        <f t="shared" ca="1" si="107"/>
        <v>4.1148245081638315</v>
      </c>
      <c r="AV67" s="33"/>
      <c r="AW67" s="27">
        <v>8.5</v>
      </c>
      <c r="AX67" s="30">
        <f t="shared" si="88"/>
        <v>44399</v>
      </c>
      <c r="AY67" s="26">
        <f t="shared" si="68"/>
        <v>44157</v>
      </c>
      <c r="AZ67" s="55">
        <v>95</v>
      </c>
      <c r="BA67" s="56">
        <f t="shared" ca="1" si="108"/>
        <v>401.71844085843958</v>
      </c>
      <c r="BB67" s="28">
        <f t="shared" ca="1" si="89"/>
        <v>6.1328222373836541</v>
      </c>
      <c r="BC67" s="28">
        <f t="shared" si="69"/>
        <v>0.8320261585720452</v>
      </c>
      <c r="BD67" s="29">
        <f t="shared" ca="1" si="109"/>
        <v>5.1026685273755374</v>
      </c>
      <c r="BE67" s="33"/>
      <c r="BF67" s="27">
        <v>8.5</v>
      </c>
      <c r="BG67" s="30">
        <f t="shared" si="90"/>
        <v>44399</v>
      </c>
      <c r="BH67" s="26">
        <f t="shared" si="70"/>
        <v>44157</v>
      </c>
      <c r="BI67" s="55">
        <v>95</v>
      </c>
      <c r="BJ67" s="56">
        <f t="shared" ca="1" si="110"/>
        <v>343.72485429855504</v>
      </c>
      <c r="BK67" s="28">
        <f t="shared" ca="1" si="91"/>
        <v>5.2474649296133959</v>
      </c>
      <c r="BL67" s="28">
        <f t="shared" si="71"/>
        <v>0.8320261585720452</v>
      </c>
      <c r="BM67" s="29">
        <f t="shared" ca="1" si="111"/>
        <v>4.3660280876277611</v>
      </c>
      <c r="BN67" s="33"/>
      <c r="BO67" s="27">
        <v>8.5</v>
      </c>
      <c r="BP67" s="30">
        <f t="shared" si="92"/>
        <v>44399</v>
      </c>
      <c r="BQ67" s="26">
        <f t="shared" si="72"/>
        <v>44157</v>
      </c>
      <c r="BR67" s="55">
        <v>95</v>
      </c>
      <c r="BS67" s="56">
        <f t="shared" ca="1" si="112"/>
        <v>402.23123005720788</v>
      </c>
      <c r="BT67" s="28">
        <f t="shared" ca="1" si="93"/>
        <v>6.1406507179347987</v>
      </c>
      <c r="BU67" s="28">
        <f t="shared" si="73"/>
        <v>0.8320261585720452</v>
      </c>
      <c r="BV67" s="29">
        <f t="shared" ca="1" si="113"/>
        <v>5.1091820279759617</v>
      </c>
      <c r="BW67" s="33"/>
      <c r="BX67" s="27">
        <v>8.5</v>
      </c>
      <c r="BY67" s="30">
        <f t="shared" si="94"/>
        <v>44399</v>
      </c>
      <c r="BZ67" s="26">
        <f t="shared" si="74"/>
        <v>44157</v>
      </c>
      <c r="CA67" s="55">
        <v>95</v>
      </c>
      <c r="CB67" s="56">
        <f t="shared" ca="1" si="114"/>
        <v>327.99829731675624</v>
      </c>
      <c r="CC67" s="28">
        <f t="shared" ca="1" si="95"/>
        <v>5.0073759305389327</v>
      </c>
      <c r="CD67" s="28">
        <f t="shared" si="75"/>
        <v>0.8320261585720452</v>
      </c>
      <c r="CE67" s="29">
        <f t="shared" ca="1" si="115"/>
        <v>4.1662677600124285</v>
      </c>
      <c r="CF67" s="33"/>
      <c r="CG67" s="27">
        <v>8.5</v>
      </c>
      <c r="CH67" s="30">
        <f t="shared" si="96"/>
        <v>44399</v>
      </c>
      <c r="CI67" s="26">
        <f t="shared" si="76"/>
        <v>44157</v>
      </c>
      <c r="CJ67" s="55">
        <v>95</v>
      </c>
      <c r="CK67" s="56">
        <f t="shared" ca="1" si="116"/>
        <v>240.06536746823843</v>
      </c>
      <c r="CL67" s="28">
        <f t="shared" ca="1" si="97"/>
        <v>3.6649505581291026</v>
      </c>
      <c r="CM67" s="28">
        <f t="shared" si="77"/>
        <v>0.8320261585720452</v>
      </c>
      <c r="CN67" s="29">
        <f t="shared" ca="1" si="117"/>
        <v>3.0493347342366302</v>
      </c>
      <c r="CO67" s="33"/>
      <c r="CP67" s="27">
        <v>8.5</v>
      </c>
      <c r="CQ67" s="30">
        <f t="shared" si="98"/>
        <v>44399</v>
      </c>
      <c r="CR67" s="26">
        <f t="shared" si="78"/>
        <v>44157</v>
      </c>
      <c r="CS67" s="55">
        <v>95</v>
      </c>
      <c r="CT67" s="56">
        <f t="shared" ca="1" si="118"/>
        <v>400.52780180941431</v>
      </c>
      <c r="CU67" s="28">
        <f t="shared" ca="1" si="99"/>
        <v>6.1146453829157439</v>
      </c>
      <c r="CV67" s="28">
        <f t="shared" si="79"/>
        <v>0.8320261585720452</v>
      </c>
      <c r="CW67" s="29">
        <f t="shared" ca="1" si="119"/>
        <v>5.0875449089776792</v>
      </c>
      <c r="CX67" s="33"/>
      <c r="CY67" s="33"/>
    </row>
    <row r="68" spans="1:103" ht="15.5" x14ac:dyDescent="0.35">
      <c r="A68" s="16"/>
      <c r="B68" s="16"/>
      <c r="C68" s="16"/>
      <c r="D68" s="16"/>
      <c r="E68" s="16"/>
      <c r="F68" s="16"/>
      <c r="G68" s="16"/>
      <c r="H68" s="16"/>
      <c r="I68" s="16"/>
      <c r="J68" s="16"/>
      <c r="K68" s="16"/>
      <c r="L68" s="16"/>
      <c r="M68" s="27">
        <v>9</v>
      </c>
      <c r="N68" s="30">
        <f t="shared" si="80"/>
        <v>44583</v>
      </c>
      <c r="O68" s="26">
        <f t="shared" si="60"/>
        <v>44338</v>
      </c>
      <c r="P68" s="55">
        <v>101</v>
      </c>
      <c r="Q68" s="56">
        <f t="shared" ca="1" si="100"/>
        <v>376.67928004528864</v>
      </c>
      <c r="R68" s="28">
        <f t="shared" ca="1" si="81"/>
        <v>5.7505626579822939</v>
      </c>
      <c r="S68" s="28">
        <f t="shared" si="61"/>
        <v>0.8230745171173951</v>
      </c>
      <c r="T68" s="29">
        <f t="shared" ca="1" si="101"/>
        <v>4.7331415828721006</v>
      </c>
      <c r="U68" s="16"/>
      <c r="V68" s="27">
        <v>9</v>
      </c>
      <c r="W68" s="30">
        <f t="shared" si="82"/>
        <v>44583</v>
      </c>
      <c r="X68" s="26">
        <f t="shared" si="62"/>
        <v>44338</v>
      </c>
      <c r="Y68" s="55">
        <v>101</v>
      </c>
      <c r="Z68" s="56">
        <f t="shared" ca="1" si="102"/>
        <v>347.92163097827682</v>
      </c>
      <c r="AA68" s="28">
        <f t="shared" ca="1" si="83"/>
        <v>5.3115348918778382</v>
      </c>
      <c r="AB68" s="28">
        <f t="shared" si="63"/>
        <v>0.8230745171173951</v>
      </c>
      <c r="AC68" s="29">
        <f t="shared" ca="1" si="103"/>
        <v>4.3717890162845467</v>
      </c>
      <c r="AD68" s="16"/>
      <c r="AE68" s="27">
        <v>9</v>
      </c>
      <c r="AF68" s="30">
        <f t="shared" si="84"/>
        <v>44583</v>
      </c>
      <c r="AG68" s="26">
        <f t="shared" si="64"/>
        <v>44338</v>
      </c>
      <c r="AH68" s="55">
        <v>101</v>
      </c>
      <c r="AI68" s="56">
        <f t="shared" ca="1" si="104"/>
        <v>376.62254410334356</v>
      </c>
      <c r="AJ68" s="28">
        <f t="shared" ca="1" si="85"/>
        <v>5.7496965004674028</v>
      </c>
      <c r="AK68" s="28">
        <f t="shared" si="65"/>
        <v>0.8230745171173951</v>
      </c>
      <c r="AL68" s="29">
        <f t="shared" ca="1" si="105"/>
        <v>4.7324286706937837</v>
      </c>
      <c r="AM68" s="33"/>
      <c r="AN68" s="27">
        <v>9</v>
      </c>
      <c r="AO68" s="30">
        <f t="shared" si="86"/>
        <v>44583</v>
      </c>
      <c r="AP68" s="26">
        <f t="shared" si="66"/>
        <v>44338</v>
      </c>
      <c r="AQ68" s="55">
        <v>101</v>
      </c>
      <c r="AR68" s="56">
        <f t="shared" ca="1" si="106"/>
        <v>329.56160363100008</v>
      </c>
      <c r="AS68" s="28">
        <f t="shared" ca="1" si="87"/>
        <v>5.0312420983637134</v>
      </c>
      <c r="AT68" s="28">
        <f t="shared" si="67"/>
        <v>0.8230745171173951</v>
      </c>
      <c r="AU68" s="29">
        <f t="shared" ca="1" si="107"/>
        <v>4.1410871606114235</v>
      </c>
      <c r="AV68" s="33"/>
      <c r="AW68" s="27">
        <v>9</v>
      </c>
      <c r="AX68" s="30">
        <f t="shared" si="88"/>
        <v>44583</v>
      </c>
      <c r="AY68" s="26">
        <f t="shared" si="68"/>
        <v>44338</v>
      </c>
      <c r="AZ68" s="55">
        <v>101</v>
      </c>
      <c r="BA68" s="56">
        <f t="shared" ca="1" si="108"/>
        <v>414.27097065635888</v>
      </c>
      <c r="BB68" s="28">
        <f t="shared" ca="1" si="89"/>
        <v>6.324455047955146</v>
      </c>
      <c r="BC68" s="28">
        <f t="shared" si="69"/>
        <v>0.8230745171173951</v>
      </c>
      <c r="BD68" s="29">
        <f t="shared" ca="1" si="109"/>
        <v>5.2054977846263535</v>
      </c>
      <c r="BE68" s="33"/>
      <c r="BF68" s="27">
        <v>9</v>
      </c>
      <c r="BG68" s="30">
        <f t="shared" si="90"/>
        <v>44583</v>
      </c>
      <c r="BH68" s="26">
        <f t="shared" si="70"/>
        <v>44338</v>
      </c>
      <c r="BI68" s="55">
        <v>101</v>
      </c>
      <c r="BJ68" s="56">
        <f t="shared" ca="1" si="110"/>
        <v>350.99198262749525</v>
      </c>
      <c r="BK68" s="28">
        <f t="shared" ca="1" si="91"/>
        <v>5.3584083210156104</v>
      </c>
      <c r="BL68" s="28">
        <f t="shared" si="71"/>
        <v>0.8230745171173951</v>
      </c>
      <c r="BM68" s="29">
        <f t="shared" ca="1" si="111"/>
        <v>4.4103693413377556</v>
      </c>
      <c r="BN68" s="33"/>
      <c r="BO68" s="27">
        <v>9</v>
      </c>
      <c r="BP68" s="30">
        <f t="shared" si="92"/>
        <v>44583</v>
      </c>
      <c r="BQ68" s="26">
        <f t="shared" si="72"/>
        <v>44338</v>
      </c>
      <c r="BR68" s="55">
        <v>101</v>
      </c>
      <c r="BS68" s="56">
        <f t="shared" ca="1" si="112"/>
        <v>414.8332043517471</v>
      </c>
      <c r="BT68" s="28">
        <f t="shared" ca="1" si="93"/>
        <v>6.3330383713951033</v>
      </c>
      <c r="BU68" s="28">
        <f t="shared" si="73"/>
        <v>0.8230745171173951</v>
      </c>
      <c r="BV68" s="29">
        <f t="shared" ca="1" si="113"/>
        <v>5.212562499421959</v>
      </c>
      <c r="BW68" s="33"/>
      <c r="BX68" s="27">
        <v>9</v>
      </c>
      <c r="BY68" s="30">
        <f t="shared" si="94"/>
        <v>44583</v>
      </c>
      <c r="BZ68" s="26">
        <f t="shared" si="74"/>
        <v>44338</v>
      </c>
      <c r="CA68" s="55">
        <v>101</v>
      </c>
      <c r="CB68" s="56">
        <f t="shared" ca="1" si="114"/>
        <v>333.94370309848892</v>
      </c>
      <c r="CC68" s="28">
        <f t="shared" ca="1" si="95"/>
        <v>5.0981412852748589</v>
      </c>
      <c r="CD68" s="28">
        <f t="shared" si="75"/>
        <v>0.8230745171173951</v>
      </c>
      <c r="CE68" s="29">
        <f t="shared" ca="1" si="115"/>
        <v>4.1961501765738607</v>
      </c>
      <c r="CF68" s="33"/>
      <c r="CG68" s="27">
        <v>9</v>
      </c>
      <c r="CH68" s="30">
        <f t="shared" si="96"/>
        <v>44583</v>
      </c>
      <c r="CI68" s="26">
        <f t="shared" si="76"/>
        <v>44338</v>
      </c>
      <c r="CJ68" s="55">
        <v>101</v>
      </c>
      <c r="CK68" s="56">
        <f t="shared" ca="1" si="116"/>
        <v>239.64624543749653</v>
      </c>
      <c r="CL68" s="28">
        <f t="shared" ca="1" si="97"/>
        <v>3.6585520445213668</v>
      </c>
      <c r="CM68" s="28">
        <f t="shared" si="77"/>
        <v>0.8230745171173951</v>
      </c>
      <c r="CN68" s="29">
        <f t="shared" ca="1" si="117"/>
        <v>3.0112609573932825</v>
      </c>
      <c r="CO68" s="33"/>
      <c r="CP68" s="27">
        <v>9</v>
      </c>
      <c r="CQ68" s="30">
        <f t="shared" si="98"/>
        <v>44583</v>
      </c>
      <c r="CR68" s="26">
        <f t="shared" si="78"/>
        <v>44338</v>
      </c>
      <c r="CS68" s="55">
        <v>101</v>
      </c>
      <c r="CT68" s="56">
        <f t="shared" ca="1" si="118"/>
        <v>412.96570191949115</v>
      </c>
      <c r="CU68" s="28">
        <f t="shared" ca="1" si="99"/>
        <v>6.3045282028789824</v>
      </c>
      <c r="CV68" s="28">
        <f t="shared" si="79"/>
        <v>0.8230745171173951</v>
      </c>
      <c r="CW68" s="29">
        <f t="shared" ca="1" si="119"/>
        <v>5.1890965062376173</v>
      </c>
      <c r="CX68" s="33"/>
      <c r="CY68" s="33"/>
    </row>
    <row r="69" spans="1:103" ht="15.5" x14ac:dyDescent="0.35">
      <c r="A69" s="16"/>
      <c r="B69" s="16"/>
      <c r="C69" s="16"/>
      <c r="D69" s="16"/>
      <c r="E69" s="16"/>
      <c r="F69" s="16"/>
      <c r="G69" s="16"/>
      <c r="H69" s="16"/>
      <c r="I69" s="16"/>
      <c r="J69" s="16"/>
      <c r="K69" s="16"/>
      <c r="L69" s="16"/>
      <c r="M69" s="27">
        <v>9.5</v>
      </c>
      <c r="N69" s="30">
        <f t="shared" si="80"/>
        <v>44764</v>
      </c>
      <c r="O69" s="26">
        <f t="shared" si="60"/>
        <v>44522</v>
      </c>
      <c r="P69" s="55">
        <v>107</v>
      </c>
      <c r="Q69" s="56">
        <f t="shared" ca="1" si="100"/>
        <v>386.26044914468065</v>
      </c>
      <c r="R69" s="28">
        <f t="shared" ca="1" si="81"/>
        <v>5.8968332817239366</v>
      </c>
      <c r="S69" s="28">
        <f t="shared" si="61"/>
        <v>0.81421918499617874</v>
      </c>
      <c r="T69" s="29">
        <f t="shared" ca="1" si="101"/>
        <v>4.8013147887036061</v>
      </c>
      <c r="U69" s="16"/>
      <c r="V69" s="27">
        <v>9.5</v>
      </c>
      <c r="W69" s="30">
        <f t="shared" si="82"/>
        <v>44764</v>
      </c>
      <c r="X69" s="26">
        <f t="shared" si="62"/>
        <v>44522</v>
      </c>
      <c r="Y69" s="55">
        <v>107</v>
      </c>
      <c r="Z69" s="56">
        <f t="shared" ca="1" si="102"/>
        <v>355.09210074072985</v>
      </c>
      <c r="AA69" s="28">
        <f t="shared" ca="1" si="83"/>
        <v>5.4210026482439329</v>
      </c>
      <c r="AB69" s="28">
        <f t="shared" si="63"/>
        <v>0.81421918499617874</v>
      </c>
      <c r="AC69" s="29">
        <f t="shared" ca="1" si="103"/>
        <v>4.4138843581153013</v>
      </c>
      <c r="AD69" s="16"/>
      <c r="AE69" s="27">
        <v>9.5</v>
      </c>
      <c r="AF69" s="30">
        <f t="shared" si="84"/>
        <v>44764</v>
      </c>
      <c r="AG69" s="26">
        <f t="shared" si="64"/>
        <v>44522</v>
      </c>
      <c r="AH69" s="55">
        <v>107</v>
      </c>
      <c r="AI69" s="56">
        <f t="shared" ca="1" si="104"/>
        <v>386.19881416745699</v>
      </c>
      <c r="AJ69" s="28">
        <f t="shared" ca="1" si="85"/>
        <v>5.8958923332374544</v>
      </c>
      <c r="AK69" s="28">
        <f t="shared" si="65"/>
        <v>0.81421918499617874</v>
      </c>
      <c r="AL69" s="29">
        <f t="shared" ca="1" si="105"/>
        <v>4.8005486503938188</v>
      </c>
      <c r="AM69" s="33"/>
      <c r="AN69" s="27">
        <v>9.5</v>
      </c>
      <c r="AO69" s="30">
        <f t="shared" si="86"/>
        <v>44764</v>
      </c>
      <c r="AP69" s="26">
        <f t="shared" si="66"/>
        <v>44522</v>
      </c>
      <c r="AQ69" s="55">
        <v>107</v>
      </c>
      <c r="AR69" s="56">
        <f t="shared" ca="1" si="106"/>
        <v>335.27215489011411</v>
      </c>
      <c r="AS69" s="28">
        <f t="shared" ca="1" si="87"/>
        <v>5.1184220537443403</v>
      </c>
      <c r="AT69" s="28">
        <f t="shared" si="67"/>
        <v>0.81421918499617874</v>
      </c>
      <c r="AU69" s="29">
        <f t="shared" ca="1" si="107"/>
        <v>4.1675174330661839</v>
      </c>
      <c r="AV69" s="33"/>
      <c r="AW69" s="27">
        <v>9.5</v>
      </c>
      <c r="AX69" s="30">
        <f t="shared" si="88"/>
        <v>44764</v>
      </c>
      <c r="AY69" s="26">
        <f t="shared" si="68"/>
        <v>44522</v>
      </c>
      <c r="AZ69" s="55">
        <v>107</v>
      </c>
      <c r="BA69" s="56">
        <f t="shared" ca="1" si="108"/>
        <v>427.21573040516364</v>
      </c>
      <c r="BB69" s="28">
        <f t="shared" ca="1" si="89"/>
        <v>6.5220758250233164</v>
      </c>
      <c r="BC69" s="28">
        <f t="shared" si="69"/>
        <v>0.81421918499617874</v>
      </c>
      <c r="BD69" s="29">
        <f t="shared" ca="1" si="109"/>
        <v>5.3103992627337648</v>
      </c>
      <c r="BE69" s="33"/>
      <c r="BF69" s="27">
        <v>9.5</v>
      </c>
      <c r="BG69" s="30">
        <f t="shared" si="90"/>
        <v>44764</v>
      </c>
      <c r="BH69" s="26">
        <f t="shared" si="70"/>
        <v>44522</v>
      </c>
      <c r="BI69" s="55">
        <v>107</v>
      </c>
      <c r="BJ69" s="56">
        <f t="shared" ca="1" si="110"/>
        <v>358.41275464407943</v>
      </c>
      <c r="BK69" s="28">
        <f t="shared" ca="1" si="91"/>
        <v>5.4716973090556174</v>
      </c>
      <c r="BL69" s="28">
        <f t="shared" si="71"/>
        <v>0.81421918499617874</v>
      </c>
      <c r="BM69" s="29">
        <f t="shared" ca="1" si="111"/>
        <v>4.4551609235250487</v>
      </c>
      <c r="BN69" s="33"/>
      <c r="BO69" s="27">
        <v>9.5</v>
      </c>
      <c r="BP69" s="30">
        <f t="shared" si="92"/>
        <v>44764</v>
      </c>
      <c r="BQ69" s="26">
        <f t="shared" si="72"/>
        <v>44522</v>
      </c>
      <c r="BR69" s="55">
        <v>107</v>
      </c>
      <c r="BS69" s="56">
        <f t="shared" ca="1" si="112"/>
        <v>427.83000068956147</v>
      </c>
      <c r="BT69" s="28">
        <f t="shared" ca="1" si="93"/>
        <v>6.5314535634509294</v>
      </c>
      <c r="BU69" s="28">
        <f t="shared" si="73"/>
        <v>0.81421918499617874</v>
      </c>
      <c r="BV69" s="29">
        <f t="shared" ca="1" si="113"/>
        <v>5.3180347972734028</v>
      </c>
      <c r="BW69" s="33"/>
      <c r="BX69" s="27">
        <v>9.5</v>
      </c>
      <c r="BY69" s="30">
        <f t="shared" si="94"/>
        <v>44764</v>
      </c>
      <c r="BZ69" s="26">
        <f t="shared" si="74"/>
        <v>44522</v>
      </c>
      <c r="CA69" s="55">
        <v>107</v>
      </c>
      <c r="CB69" s="56">
        <f t="shared" ca="1" si="114"/>
        <v>339.99687727474878</v>
      </c>
      <c r="CC69" s="28">
        <f t="shared" ca="1" si="95"/>
        <v>5.1905518828954067</v>
      </c>
      <c r="CD69" s="28">
        <f t="shared" si="75"/>
        <v>0.81421918499617874</v>
      </c>
      <c r="CE69" s="29">
        <f t="shared" ca="1" si="115"/>
        <v>4.2262469237714786</v>
      </c>
      <c r="CF69" s="33"/>
      <c r="CG69" s="27">
        <v>9.5</v>
      </c>
      <c r="CH69" s="30">
        <f t="shared" si="96"/>
        <v>44764</v>
      </c>
      <c r="CI69" s="26">
        <f t="shared" si="76"/>
        <v>44522</v>
      </c>
      <c r="CJ69" s="55">
        <v>107</v>
      </c>
      <c r="CK69" s="56">
        <f t="shared" ca="1" si="116"/>
        <v>239.22785513777649</v>
      </c>
      <c r="CL69" s="28">
        <f t="shared" ca="1" si="97"/>
        <v>3.6521647018627981</v>
      </c>
      <c r="CM69" s="28">
        <f t="shared" si="77"/>
        <v>0.81421918499617874</v>
      </c>
      <c r="CN69" s="29">
        <f t="shared" ca="1" si="117"/>
        <v>2.9736625670225396</v>
      </c>
      <c r="CO69" s="33"/>
      <c r="CP69" s="27">
        <v>9.5</v>
      </c>
      <c r="CQ69" s="30">
        <f t="shared" si="98"/>
        <v>44764</v>
      </c>
      <c r="CR69" s="26">
        <f t="shared" si="78"/>
        <v>44522</v>
      </c>
      <c r="CS69" s="55">
        <v>107</v>
      </c>
      <c r="CT69" s="56">
        <f t="shared" ca="1" si="118"/>
        <v>425.7898457770666</v>
      </c>
      <c r="CU69" s="28">
        <f t="shared" ca="1" si="99"/>
        <v>6.5003076011487781</v>
      </c>
      <c r="CV69" s="28">
        <f t="shared" si="79"/>
        <v>0.81421918499617874</v>
      </c>
      <c r="CW69" s="29">
        <f t="shared" ca="1" si="119"/>
        <v>5.292675157231824</v>
      </c>
      <c r="CX69" s="33"/>
      <c r="CY69" s="33"/>
    </row>
    <row r="70" spans="1:103" ht="15.5" x14ac:dyDescent="0.35">
      <c r="A70" s="16"/>
      <c r="B70" s="16"/>
      <c r="C70" s="16"/>
      <c r="D70" s="16"/>
      <c r="E70" s="16"/>
      <c r="F70" s="16"/>
      <c r="G70" s="16"/>
      <c r="H70" s="16"/>
      <c r="I70" s="16"/>
      <c r="J70" s="16"/>
      <c r="K70" s="16"/>
      <c r="L70" s="16"/>
      <c r="M70" s="27">
        <v>10</v>
      </c>
      <c r="N70" s="30">
        <f t="shared" si="80"/>
        <v>44948</v>
      </c>
      <c r="O70" s="26">
        <f t="shared" si="60"/>
        <v>44703</v>
      </c>
      <c r="P70" s="55">
        <v>113</v>
      </c>
      <c r="Q70" s="56">
        <f t="shared" ca="1" si="100"/>
        <v>396.08532371494459</v>
      </c>
      <c r="R70" s="28">
        <f t="shared" ca="1" si="81"/>
        <v>6.0468244275505052</v>
      </c>
      <c r="S70" s="28">
        <f t="shared" si="61"/>
        <v>0.80545912603109504</v>
      </c>
      <c r="T70" s="29">
        <f t="shared" ca="1" si="101"/>
        <v>4.8704699186783067</v>
      </c>
      <c r="U70" s="16"/>
      <c r="V70" s="27">
        <v>10</v>
      </c>
      <c r="W70" s="30">
        <f t="shared" si="82"/>
        <v>44948</v>
      </c>
      <c r="X70" s="26">
        <f t="shared" si="62"/>
        <v>44703</v>
      </c>
      <c r="Y70" s="55">
        <v>113</v>
      </c>
      <c r="Z70" s="56">
        <f t="shared" ca="1" si="102"/>
        <v>362.41034986507447</v>
      </c>
      <c r="AA70" s="28">
        <f t="shared" ca="1" si="83"/>
        <v>5.5327264736988608</v>
      </c>
      <c r="AB70" s="28">
        <f t="shared" si="63"/>
        <v>0.80545912603109504</v>
      </c>
      <c r="AC70" s="29">
        <f t="shared" ca="1" si="103"/>
        <v>4.4563850300745864</v>
      </c>
      <c r="AD70" s="16"/>
      <c r="AE70" s="27">
        <v>10</v>
      </c>
      <c r="AF70" s="30">
        <f t="shared" si="84"/>
        <v>44948</v>
      </c>
      <c r="AG70" s="26">
        <f t="shared" si="64"/>
        <v>44703</v>
      </c>
      <c r="AH70" s="55">
        <v>113</v>
      </c>
      <c r="AI70" s="56">
        <f t="shared" ca="1" si="104"/>
        <v>396.01857721885085</v>
      </c>
      <c r="AJ70" s="28">
        <f t="shared" ca="1" si="85"/>
        <v>6.0458054442182076</v>
      </c>
      <c r="AK70" s="28">
        <f t="shared" si="65"/>
        <v>0.80545912603109504</v>
      </c>
      <c r="AL70" s="29">
        <f t="shared" ca="1" si="105"/>
        <v>4.8696491692540338</v>
      </c>
      <c r="AM70" s="33"/>
      <c r="AN70" s="27">
        <v>10</v>
      </c>
      <c r="AO70" s="30">
        <f t="shared" si="86"/>
        <v>44948</v>
      </c>
      <c r="AP70" s="26">
        <f t="shared" si="66"/>
        <v>44703</v>
      </c>
      <c r="AQ70" s="55">
        <v>113</v>
      </c>
      <c r="AR70" s="56">
        <f t="shared" ca="1" si="106"/>
        <v>341.08165698368123</v>
      </c>
      <c r="AS70" s="28">
        <f t="shared" ca="1" si="87"/>
        <v>5.2071126389995745</v>
      </c>
      <c r="AT70" s="28">
        <f t="shared" si="67"/>
        <v>0.80545912603109504</v>
      </c>
      <c r="AU70" s="29">
        <f t="shared" ca="1" si="107"/>
        <v>4.1941163953540661</v>
      </c>
      <c r="AV70" s="33"/>
      <c r="AW70" s="27">
        <v>10</v>
      </c>
      <c r="AX70" s="30">
        <f t="shared" si="88"/>
        <v>44948</v>
      </c>
      <c r="AY70" s="26">
        <f t="shared" si="68"/>
        <v>44703</v>
      </c>
      <c r="AZ70" s="55">
        <v>113</v>
      </c>
      <c r="BA70" s="56">
        <f t="shared" ca="1" si="108"/>
        <v>440.56497614700999</v>
      </c>
      <c r="BB70" s="28">
        <f t="shared" ca="1" si="89"/>
        <v>6.7258716750792606</v>
      </c>
      <c r="BC70" s="28">
        <f t="shared" si="69"/>
        <v>0.80545912603109504</v>
      </c>
      <c r="BD70" s="29">
        <f t="shared" ca="1" si="109"/>
        <v>5.4174147212066384</v>
      </c>
      <c r="BE70" s="33"/>
      <c r="BF70" s="27">
        <v>10</v>
      </c>
      <c r="BG70" s="30">
        <f t="shared" si="90"/>
        <v>44948</v>
      </c>
      <c r="BH70" s="26">
        <f t="shared" si="70"/>
        <v>44703</v>
      </c>
      <c r="BI70" s="55">
        <v>113</v>
      </c>
      <c r="BJ70" s="56">
        <f t="shared" ca="1" si="110"/>
        <v>365.99041872671557</v>
      </c>
      <c r="BK70" s="28">
        <f t="shared" ca="1" si="91"/>
        <v>5.5873814850025969</v>
      </c>
      <c r="BL70" s="28">
        <f t="shared" si="71"/>
        <v>0.80545912603109504</v>
      </c>
      <c r="BM70" s="29">
        <f t="shared" ca="1" si="111"/>
        <v>4.5004074077125136</v>
      </c>
      <c r="BN70" s="33"/>
      <c r="BO70" s="27">
        <v>10</v>
      </c>
      <c r="BP70" s="30">
        <f t="shared" si="92"/>
        <v>44948</v>
      </c>
      <c r="BQ70" s="26">
        <f t="shared" si="72"/>
        <v>44703</v>
      </c>
      <c r="BR70" s="55">
        <v>113</v>
      </c>
      <c r="BS70" s="56">
        <f t="shared" ca="1" si="112"/>
        <v>441.23398891383675</v>
      </c>
      <c r="BT70" s="28">
        <f t="shared" ca="1" si="93"/>
        <v>6.736085137933296</v>
      </c>
      <c r="BU70" s="28">
        <f t="shared" si="73"/>
        <v>0.80545912603109504</v>
      </c>
      <c r="BV70" s="29">
        <f t="shared" ca="1" si="113"/>
        <v>5.4256412480708009</v>
      </c>
      <c r="BW70" s="33"/>
      <c r="BX70" s="27">
        <v>10</v>
      </c>
      <c r="BY70" s="30">
        <f t="shared" si="94"/>
        <v>44948</v>
      </c>
      <c r="BZ70" s="26">
        <f t="shared" si="74"/>
        <v>44703</v>
      </c>
      <c r="CA70" s="55">
        <v>113</v>
      </c>
      <c r="CB70" s="56">
        <f t="shared" ca="1" si="114"/>
        <v>346.15977329115168</v>
      </c>
      <c r="CC70" s="28">
        <f t="shared" ca="1" si="95"/>
        <v>5.2846375456180636</v>
      </c>
      <c r="CD70" s="28">
        <f t="shared" si="75"/>
        <v>0.80545912603109504</v>
      </c>
      <c r="CE70" s="29">
        <f t="shared" ca="1" si="115"/>
        <v>4.2565595388846367</v>
      </c>
      <c r="CF70" s="33"/>
      <c r="CG70" s="27">
        <v>10</v>
      </c>
      <c r="CH70" s="30">
        <f t="shared" si="96"/>
        <v>44948</v>
      </c>
      <c r="CI70" s="26">
        <f t="shared" si="76"/>
        <v>44703</v>
      </c>
      <c r="CJ70" s="55">
        <v>113</v>
      </c>
      <c r="CK70" s="56">
        <f t="shared" ca="1" si="116"/>
        <v>238.81019529157382</v>
      </c>
      <c r="CL70" s="28">
        <f t="shared" ca="1" si="97"/>
        <v>3.6457885106504149</v>
      </c>
      <c r="CM70" s="28">
        <f t="shared" si="77"/>
        <v>0.80545912603109504</v>
      </c>
      <c r="CN70" s="29">
        <f t="shared" ca="1" si="117"/>
        <v>2.936533627482691</v>
      </c>
      <c r="CO70" s="33"/>
      <c r="CP70" s="27">
        <v>10</v>
      </c>
      <c r="CQ70" s="30">
        <f t="shared" si="98"/>
        <v>44948</v>
      </c>
      <c r="CR70" s="26">
        <f t="shared" si="78"/>
        <v>44703</v>
      </c>
      <c r="CS70" s="55">
        <v>113</v>
      </c>
      <c r="CT70" s="56">
        <f t="shared" ca="1" si="118"/>
        <v>439.01222770844663</v>
      </c>
      <c r="CU70" s="28">
        <f t="shared" ca="1" si="99"/>
        <v>6.702166688739239</v>
      </c>
      <c r="CV70" s="28">
        <f t="shared" si="79"/>
        <v>0.80545912603109504</v>
      </c>
      <c r="CW70" s="29">
        <f t="shared" ca="1" si="119"/>
        <v>5.3983213236266261</v>
      </c>
      <c r="CX70" s="33"/>
      <c r="CY70" s="33"/>
    </row>
    <row r="71" spans="1:103" ht="15.5" x14ac:dyDescent="0.35">
      <c r="A71" s="16"/>
      <c r="B71" s="16"/>
      <c r="C71" s="16"/>
      <c r="D71" s="16"/>
      <c r="E71" s="16"/>
      <c r="F71" s="16"/>
      <c r="G71" s="16"/>
      <c r="H71" s="16"/>
      <c r="I71" s="16"/>
      <c r="J71" s="16"/>
      <c r="K71" s="16"/>
      <c r="L71" s="16"/>
      <c r="M71" s="27">
        <v>10.5</v>
      </c>
      <c r="N71" s="30">
        <f t="shared" si="80"/>
        <v>45129</v>
      </c>
      <c r="O71" s="26">
        <f t="shared" si="60"/>
        <v>44887</v>
      </c>
      <c r="P71" s="55">
        <v>119</v>
      </c>
      <c r="Q71" s="56">
        <f t="shared" ca="1" si="100"/>
        <v>406.16010261927948</v>
      </c>
      <c r="R71" s="28">
        <f t="shared" ca="1" si="81"/>
        <v>6.2006307302166102</v>
      </c>
      <c r="S71" s="28">
        <f t="shared" si="61"/>
        <v>0.79679331519290986</v>
      </c>
      <c r="T71" s="29">
        <f t="shared" ca="1" si="101"/>
        <v>4.9406211158163265</v>
      </c>
      <c r="U71" s="16"/>
      <c r="V71" s="27">
        <v>10.5</v>
      </c>
      <c r="W71" s="30">
        <f t="shared" si="82"/>
        <v>45129</v>
      </c>
      <c r="X71" s="26">
        <f t="shared" si="62"/>
        <v>44887</v>
      </c>
      <c r="Y71" s="55">
        <v>119</v>
      </c>
      <c r="Z71" s="56">
        <f t="shared" ca="1" si="102"/>
        <v>369.87942400111109</v>
      </c>
      <c r="AA71" s="28">
        <f t="shared" ca="1" si="83"/>
        <v>5.6467528645617442</v>
      </c>
      <c r="AB71" s="28">
        <f t="shared" si="63"/>
        <v>0.79679331519290986</v>
      </c>
      <c r="AC71" s="29">
        <f t="shared" ca="1" si="103"/>
        <v>4.4992949350292122</v>
      </c>
      <c r="AD71" s="16"/>
      <c r="AE71" s="27">
        <v>10.5</v>
      </c>
      <c r="AF71" s="30">
        <f t="shared" si="84"/>
        <v>45129</v>
      </c>
      <c r="AG71" s="26">
        <f t="shared" si="64"/>
        <v>44887</v>
      </c>
      <c r="AH71" s="55">
        <v>119</v>
      </c>
      <c r="AI71" s="56">
        <f t="shared" ca="1" si="104"/>
        <v>406.08802448171321</v>
      </c>
      <c r="AJ71" s="28">
        <f t="shared" ca="1" si="85"/>
        <v>6.1995303515435491</v>
      </c>
      <c r="AK71" s="28">
        <f t="shared" si="65"/>
        <v>0.79679331519290986</v>
      </c>
      <c r="AL71" s="29">
        <f t="shared" ca="1" si="105"/>
        <v>4.9397443414454507</v>
      </c>
      <c r="AM71" s="33"/>
      <c r="AN71" s="27">
        <v>10.5</v>
      </c>
      <c r="AO71" s="30">
        <f t="shared" si="86"/>
        <v>45129</v>
      </c>
      <c r="AP71" s="26">
        <f t="shared" si="66"/>
        <v>44887</v>
      </c>
      <c r="AQ71" s="55">
        <v>119</v>
      </c>
      <c r="AR71" s="56">
        <f t="shared" ca="1" si="106"/>
        <v>346.99182450407505</v>
      </c>
      <c r="AS71" s="28">
        <f t="shared" ca="1" si="87"/>
        <v>5.2973400299012203</v>
      </c>
      <c r="AT71" s="28">
        <f t="shared" si="67"/>
        <v>0.79679331519290986</v>
      </c>
      <c r="AU71" s="29">
        <f t="shared" ca="1" si="107"/>
        <v>4.2208851241291017</v>
      </c>
      <c r="AV71" s="33"/>
      <c r="AW71" s="27">
        <v>10.5</v>
      </c>
      <c r="AX71" s="30">
        <f t="shared" si="88"/>
        <v>45129</v>
      </c>
      <c r="AY71" s="26">
        <f t="shared" si="68"/>
        <v>44887</v>
      </c>
      <c r="AZ71" s="55">
        <v>119</v>
      </c>
      <c r="BA71" s="56">
        <f t="shared" ca="1" si="108"/>
        <v>454.33134688963099</v>
      </c>
      <c r="BB71" s="28">
        <f t="shared" ca="1" si="89"/>
        <v>6.9360355511462908</v>
      </c>
      <c r="BC71" s="28">
        <f t="shared" si="69"/>
        <v>0.79679331519290986</v>
      </c>
      <c r="BD71" s="29">
        <f t="shared" ca="1" si="109"/>
        <v>5.5265867610937347</v>
      </c>
      <c r="BE71" s="33"/>
      <c r="BF71" s="27">
        <v>10.5</v>
      </c>
      <c r="BG71" s="30">
        <f t="shared" si="90"/>
        <v>45129</v>
      </c>
      <c r="BH71" s="26">
        <f t="shared" si="70"/>
        <v>44887</v>
      </c>
      <c r="BI71" s="55">
        <v>119</v>
      </c>
      <c r="BJ71" s="56">
        <f t="shared" ca="1" si="110"/>
        <v>373.72829193194923</v>
      </c>
      <c r="BK71" s="28">
        <f t="shared" ca="1" si="91"/>
        <v>5.7055114885984111</v>
      </c>
      <c r="BL71" s="28">
        <f t="shared" si="71"/>
        <v>0.79679331519290986</v>
      </c>
      <c r="BM71" s="29">
        <f t="shared" ca="1" si="111"/>
        <v>4.546113413871562</v>
      </c>
      <c r="BN71" s="33"/>
      <c r="BO71" s="27">
        <v>10.5</v>
      </c>
      <c r="BP71" s="30">
        <f t="shared" si="92"/>
        <v>45129</v>
      </c>
      <c r="BQ71" s="26">
        <f t="shared" si="72"/>
        <v>44887</v>
      </c>
      <c r="BR71" s="55">
        <v>119</v>
      </c>
      <c r="BS71" s="56">
        <f t="shared" ca="1" si="112"/>
        <v>455.05792641709417</v>
      </c>
      <c r="BT71" s="28">
        <f t="shared" ca="1" si="93"/>
        <v>6.9471278551832478</v>
      </c>
      <c r="BU71" s="28">
        <f t="shared" si="73"/>
        <v>0.79679331519290986</v>
      </c>
      <c r="BV71" s="29">
        <f t="shared" ca="1" si="113"/>
        <v>5.5354250348004692</v>
      </c>
      <c r="BW71" s="33"/>
      <c r="BX71" s="27">
        <v>10.5</v>
      </c>
      <c r="BY71" s="30">
        <f t="shared" si="94"/>
        <v>45129</v>
      </c>
      <c r="BZ71" s="26">
        <f t="shared" si="74"/>
        <v>44887</v>
      </c>
      <c r="CA71" s="55">
        <v>119</v>
      </c>
      <c r="CB71" s="56">
        <f t="shared" ca="1" si="114"/>
        <v>352.43438000211574</v>
      </c>
      <c r="CC71" s="28">
        <f t="shared" ca="1" si="95"/>
        <v>5.3804286362277107</v>
      </c>
      <c r="CD71" s="28">
        <f t="shared" si="75"/>
        <v>0.79679331519290986</v>
      </c>
      <c r="CE71" s="29">
        <f t="shared" ca="1" si="115"/>
        <v>4.2870895702187442</v>
      </c>
      <c r="CF71" s="33"/>
      <c r="CG71" s="27">
        <v>10.5</v>
      </c>
      <c r="CH71" s="30">
        <f t="shared" si="96"/>
        <v>45129</v>
      </c>
      <c r="CI71" s="26">
        <f t="shared" si="76"/>
        <v>44887</v>
      </c>
      <c r="CJ71" s="55">
        <v>119</v>
      </c>
      <c r="CK71" s="56">
        <f t="shared" ca="1" si="116"/>
        <v>238.39326462361433</v>
      </c>
      <c r="CL71" s="28">
        <f t="shared" ca="1" si="97"/>
        <v>3.6394234514152819</v>
      </c>
      <c r="CM71" s="28">
        <f t="shared" si="77"/>
        <v>0.79679331519290986</v>
      </c>
      <c r="CN71" s="29">
        <f t="shared" ca="1" si="117"/>
        <v>2.8998682772440048</v>
      </c>
      <c r="CO71" s="33"/>
      <c r="CP71" s="27">
        <v>10.5</v>
      </c>
      <c r="CQ71" s="30">
        <f t="shared" si="98"/>
        <v>45129</v>
      </c>
      <c r="CR71" s="26">
        <f t="shared" si="78"/>
        <v>44887</v>
      </c>
      <c r="CS71" s="55">
        <v>119</v>
      </c>
      <c r="CT71" s="56">
        <f t="shared" ca="1" si="118"/>
        <v>452.64521450904385</v>
      </c>
      <c r="CU71" s="28">
        <f t="shared" ca="1" si="99"/>
        <v>6.9102942629526503</v>
      </c>
      <c r="CV71" s="28">
        <f t="shared" si="79"/>
        <v>0.79679331519290986</v>
      </c>
      <c r="CW71" s="29">
        <f t="shared" ca="1" si="119"/>
        <v>5.5060762747365875</v>
      </c>
      <c r="CX71" s="33"/>
      <c r="CY71" s="33"/>
    </row>
    <row r="72" spans="1:103" ht="15.5" x14ac:dyDescent="0.35">
      <c r="A72" s="16"/>
      <c r="B72" s="16"/>
      <c r="C72" s="16"/>
      <c r="D72" s="16"/>
      <c r="E72" s="16"/>
      <c r="F72" s="16"/>
      <c r="G72" s="16"/>
      <c r="H72" s="16"/>
      <c r="I72" s="16"/>
      <c r="J72" s="16"/>
      <c r="K72" s="16"/>
      <c r="L72" s="16"/>
      <c r="M72" s="27">
        <v>11</v>
      </c>
      <c r="N72" s="30">
        <f t="shared" si="80"/>
        <v>45313</v>
      </c>
      <c r="O72" s="26">
        <f t="shared" si="60"/>
        <v>45068</v>
      </c>
      <c r="P72" s="55">
        <v>125</v>
      </c>
      <c r="Q72" s="56">
        <f t="shared" ca="1" si="100"/>
        <v>416.49114239442679</v>
      </c>
      <c r="R72" s="28">
        <f t="shared" ca="1" si="81"/>
        <v>6.3583492315951542</v>
      </c>
      <c r="S72" s="28">
        <f t="shared" si="61"/>
        <v>0.78822073848052587</v>
      </c>
      <c r="T72" s="29">
        <f t="shared" ca="1" si="101"/>
        <v>5.0117827268450164</v>
      </c>
      <c r="U72" s="16"/>
      <c r="V72" s="27">
        <v>11</v>
      </c>
      <c r="W72" s="30">
        <f t="shared" si="82"/>
        <v>45313</v>
      </c>
      <c r="X72" s="26">
        <f t="shared" si="62"/>
        <v>45068</v>
      </c>
      <c r="Y72" s="55">
        <v>125</v>
      </c>
      <c r="Z72" s="56">
        <f t="shared" ca="1" si="102"/>
        <v>377.5024315677752</v>
      </c>
      <c r="AA72" s="28">
        <f t="shared" ca="1" si="83"/>
        <v>5.7631292754147765</v>
      </c>
      <c r="AB72" s="28">
        <f t="shared" si="63"/>
        <v>0.78822073848052587</v>
      </c>
      <c r="AC72" s="29">
        <f t="shared" ca="1" si="103"/>
        <v>4.5426180134261731</v>
      </c>
      <c r="AD72" s="16"/>
      <c r="AE72" s="27">
        <v>11</v>
      </c>
      <c r="AF72" s="30">
        <f t="shared" si="84"/>
        <v>45313</v>
      </c>
      <c r="AG72" s="26">
        <f t="shared" si="64"/>
        <v>45068</v>
      </c>
      <c r="AH72" s="55">
        <v>125</v>
      </c>
      <c r="AI72" s="56">
        <f t="shared" ca="1" si="104"/>
        <v>416.41350460265932</v>
      </c>
      <c r="AJ72" s="28">
        <f t="shared" ca="1" si="85"/>
        <v>6.3571639766320125</v>
      </c>
      <c r="AK72" s="28">
        <f t="shared" si="65"/>
        <v>0.78822073848052587</v>
      </c>
      <c r="AL72" s="29">
        <f t="shared" ca="1" si="105"/>
        <v>5.0108484843026817</v>
      </c>
      <c r="AM72" s="33"/>
      <c r="AN72" s="27">
        <v>11</v>
      </c>
      <c r="AO72" s="30">
        <f t="shared" si="86"/>
        <v>45313</v>
      </c>
      <c r="AP72" s="26">
        <f t="shared" si="66"/>
        <v>45068</v>
      </c>
      <c r="AQ72" s="55">
        <v>125</v>
      </c>
      <c r="AR72" s="56">
        <f t="shared" ca="1" si="106"/>
        <v>353.00440175364645</v>
      </c>
      <c r="AS72" s="28">
        <f t="shared" ca="1" si="87"/>
        <v>5.3891308557875339</v>
      </c>
      <c r="AT72" s="28">
        <f t="shared" si="67"/>
        <v>0.78822073848052587</v>
      </c>
      <c r="AU72" s="29">
        <f t="shared" ca="1" si="107"/>
        <v>4.247824702917038</v>
      </c>
      <c r="AV72" s="33"/>
      <c r="AW72" s="27">
        <v>11</v>
      </c>
      <c r="AX72" s="30">
        <f t="shared" si="88"/>
        <v>45313</v>
      </c>
      <c r="AY72" s="26">
        <f t="shared" si="68"/>
        <v>45068</v>
      </c>
      <c r="AZ72" s="55">
        <v>125</v>
      </c>
      <c r="BA72" s="56">
        <f t="shared" ca="1" si="108"/>
        <v>468.52787657289389</v>
      </c>
      <c r="BB72" s="28">
        <f t="shared" ca="1" si="89"/>
        <v>7.1527664354670151</v>
      </c>
      <c r="BC72" s="28">
        <f t="shared" si="69"/>
        <v>0.78822073848052587</v>
      </c>
      <c r="BD72" s="29">
        <f t="shared" ca="1" si="109"/>
        <v>5.6379588419425293</v>
      </c>
      <c r="BE72" s="33"/>
      <c r="BF72" s="27">
        <v>11</v>
      </c>
      <c r="BG72" s="30">
        <f t="shared" si="90"/>
        <v>45313</v>
      </c>
      <c r="BH72" s="26">
        <f t="shared" si="70"/>
        <v>45068</v>
      </c>
      <c r="BI72" s="55">
        <v>125</v>
      </c>
      <c r="BJ72" s="56">
        <f t="shared" ca="1" si="110"/>
        <v>381.62976144647575</v>
      </c>
      <c r="BK72" s="28">
        <f t="shared" ca="1" si="91"/>
        <v>5.8261390302246951</v>
      </c>
      <c r="BL72" s="28">
        <f t="shared" si="71"/>
        <v>0.78822073848052587</v>
      </c>
      <c r="BM72" s="29">
        <f t="shared" ca="1" si="111"/>
        <v>4.5922836088939238</v>
      </c>
      <c r="BN72" s="33"/>
      <c r="BO72" s="27">
        <v>11</v>
      </c>
      <c r="BP72" s="30">
        <f t="shared" si="92"/>
        <v>45313</v>
      </c>
      <c r="BQ72" s="26">
        <f t="shared" si="72"/>
        <v>45068</v>
      </c>
      <c r="BR72" s="55">
        <v>125</v>
      </c>
      <c r="BS72" s="56">
        <f t="shared" ca="1" si="112"/>
        <v>469.31497028317824</v>
      </c>
      <c r="BT72" s="28">
        <f t="shared" ca="1" si="93"/>
        <v>7.1647825774171361</v>
      </c>
      <c r="BU72" s="28">
        <f t="shared" si="73"/>
        <v>0.78822073848052587</v>
      </c>
      <c r="BV72" s="29">
        <f t="shared" ca="1" si="113"/>
        <v>5.6474302142241406</v>
      </c>
      <c r="BW72" s="33"/>
      <c r="BX72" s="27">
        <v>11</v>
      </c>
      <c r="BY72" s="30">
        <f t="shared" si="94"/>
        <v>45313</v>
      </c>
      <c r="BZ72" s="26">
        <f t="shared" si="74"/>
        <v>45068</v>
      </c>
      <c r="CA72" s="55">
        <v>125</v>
      </c>
      <c r="CB72" s="56">
        <f t="shared" ca="1" si="114"/>
        <v>358.82272231269309</v>
      </c>
      <c r="CC72" s="28">
        <f t="shared" ca="1" si="95"/>
        <v>5.4779560678751258</v>
      </c>
      <c r="CD72" s="28">
        <f t="shared" si="75"/>
        <v>0.78822073848052587</v>
      </c>
      <c r="CE72" s="29">
        <f t="shared" ca="1" si="115"/>
        <v>4.3178385771844097</v>
      </c>
      <c r="CF72" s="33"/>
      <c r="CG72" s="27">
        <v>11</v>
      </c>
      <c r="CH72" s="30">
        <f t="shared" si="96"/>
        <v>45313</v>
      </c>
      <c r="CI72" s="26">
        <f t="shared" si="76"/>
        <v>45068</v>
      </c>
      <c r="CJ72" s="55">
        <v>125</v>
      </c>
      <c r="CK72" s="56">
        <f t="shared" ca="1" si="116"/>
        <v>237.97706186085028</v>
      </c>
      <c r="CL72" s="28">
        <f t="shared" ca="1" si="97"/>
        <v>3.6330695047224553</v>
      </c>
      <c r="CM72" s="28">
        <f t="shared" si="77"/>
        <v>0.78822073848052587</v>
      </c>
      <c r="CN72" s="29">
        <f t="shared" ca="1" si="117"/>
        <v>2.8636607279634121</v>
      </c>
      <c r="CO72" s="33"/>
      <c r="CP72" s="27">
        <v>11</v>
      </c>
      <c r="CQ72" s="30">
        <f t="shared" si="98"/>
        <v>45313</v>
      </c>
      <c r="CR72" s="26">
        <f t="shared" si="78"/>
        <v>45068</v>
      </c>
      <c r="CS72" s="55">
        <v>125</v>
      </c>
      <c r="CT72" s="56">
        <f t="shared" ca="1" si="118"/>
        <v>466.701557009949</v>
      </c>
      <c r="CU72" s="28">
        <f t="shared" ca="1" si="99"/>
        <v>7.1248849839601762</v>
      </c>
      <c r="CV72" s="28">
        <f t="shared" si="79"/>
        <v>0.78822073848052587</v>
      </c>
      <c r="CW72" s="29">
        <f t="shared" ca="1" si="119"/>
        <v>5.6159821036458997</v>
      </c>
      <c r="CX72" s="33"/>
      <c r="CY72" s="33"/>
    </row>
    <row r="73" spans="1:103" ht="15.5" x14ac:dyDescent="0.35">
      <c r="A73" s="16"/>
      <c r="B73" s="16"/>
      <c r="C73" s="16"/>
      <c r="D73" s="16"/>
      <c r="E73" s="16"/>
      <c r="F73" s="16"/>
      <c r="G73" s="16"/>
      <c r="H73" s="16"/>
      <c r="I73" s="16"/>
      <c r="J73" s="16"/>
      <c r="K73" s="16"/>
      <c r="L73" s="16"/>
      <c r="M73" s="27">
        <v>11.5</v>
      </c>
      <c r="N73" s="30">
        <f t="shared" si="80"/>
        <v>45495</v>
      </c>
      <c r="O73" s="26">
        <f t="shared" si="60"/>
        <v>45252</v>
      </c>
      <c r="P73" s="55">
        <v>131</v>
      </c>
      <c r="Q73" s="56">
        <f t="shared" ca="1" si="100"/>
        <v>427.08496126123617</v>
      </c>
      <c r="R73" s="28">
        <f t="shared" ca="1" si="81"/>
        <v>6.5200794419045129</v>
      </c>
      <c r="S73" s="28">
        <f t="shared" si="61"/>
        <v>0.77974039280232299</v>
      </c>
      <c r="T73" s="29">
        <f t="shared" ca="1" si="101"/>
        <v>5.0839693051329755</v>
      </c>
      <c r="U73" s="16"/>
      <c r="V73" s="27">
        <v>11.5</v>
      </c>
      <c r="W73" s="30">
        <f t="shared" si="82"/>
        <v>45495</v>
      </c>
      <c r="X73" s="26">
        <f t="shared" si="62"/>
        <v>45252</v>
      </c>
      <c r="Y73" s="55">
        <v>131</v>
      </c>
      <c r="Z73" s="56">
        <f t="shared" ca="1" si="102"/>
        <v>385.28254504677369</v>
      </c>
      <c r="AA73" s="28">
        <f t="shared" ca="1" si="83"/>
        <v>5.8819041388524855</v>
      </c>
      <c r="AB73" s="28">
        <f t="shared" si="63"/>
        <v>0.77974039280232299</v>
      </c>
      <c r="AC73" s="29">
        <f t="shared" ca="1" si="103"/>
        <v>4.5863582436544466</v>
      </c>
      <c r="AD73" s="16"/>
      <c r="AE73" s="27">
        <v>11.5</v>
      </c>
      <c r="AF73" s="30">
        <f t="shared" si="84"/>
        <v>45495</v>
      </c>
      <c r="AG73" s="26">
        <f t="shared" si="64"/>
        <v>45252</v>
      </c>
      <c r="AH73" s="55">
        <v>131</v>
      </c>
      <c r="AI73" s="56">
        <f t="shared" ca="1" si="104"/>
        <v>427.00152765346434</v>
      </c>
      <c r="AJ73" s="28">
        <f t="shared" ca="1" si="85"/>
        <v>6.5188057052943762</v>
      </c>
      <c r="AK73" s="28">
        <f t="shared" si="65"/>
        <v>0.77974039280232299</v>
      </c>
      <c r="AL73" s="29">
        <f t="shared" ca="1" si="105"/>
        <v>5.0829761212482607</v>
      </c>
      <c r="AM73" s="33"/>
      <c r="AN73" s="27">
        <v>11.5</v>
      </c>
      <c r="AO73" s="30">
        <f t="shared" si="86"/>
        <v>45495</v>
      </c>
      <c r="AP73" s="26">
        <f t="shared" si="66"/>
        <v>45252</v>
      </c>
      <c r="AQ73" s="55">
        <v>131</v>
      </c>
      <c r="AR73" s="56">
        <f t="shared" ca="1" si="106"/>
        <v>359.12116325952917</v>
      </c>
      <c r="AS73" s="28">
        <f t="shared" ca="1" si="87"/>
        <v>5.4825122074224941</v>
      </c>
      <c r="AT73" s="28">
        <f t="shared" si="67"/>
        <v>0.77974039280232299</v>
      </c>
      <c r="AU73" s="29">
        <f t="shared" ca="1" si="107"/>
        <v>4.2749362221591465</v>
      </c>
      <c r="AV73" s="33"/>
      <c r="AW73" s="27">
        <v>11.5</v>
      </c>
      <c r="AX73" s="30">
        <f t="shared" si="88"/>
        <v>45495</v>
      </c>
      <c r="AY73" s="26">
        <f t="shared" si="68"/>
        <v>45252</v>
      </c>
      <c r="AZ73" s="55">
        <v>131</v>
      </c>
      <c r="BA73" s="56">
        <f t="shared" ca="1" si="108"/>
        <v>483.16800640927744</v>
      </c>
      <c r="BB73" s="28">
        <f t="shared" ca="1" si="89"/>
        <v>7.3762695278988515</v>
      </c>
      <c r="BC73" s="28">
        <f t="shared" si="69"/>
        <v>0.77974039280232299</v>
      </c>
      <c r="BD73" s="29">
        <f t="shared" ca="1" si="109"/>
        <v>5.751575299099656</v>
      </c>
      <c r="BE73" s="33"/>
      <c r="BF73" s="27">
        <v>11.5</v>
      </c>
      <c r="BG73" s="30">
        <f t="shared" si="90"/>
        <v>45495</v>
      </c>
      <c r="BH73" s="26">
        <f t="shared" si="70"/>
        <v>45252</v>
      </c>
      <c r="BI73" s="55">
        <v>131</v>
      </c>
      <c r="BJ73" s="56">
        <f t="shared" ca="1" si="110"/>
        <v>389.69828606985232</v>
      </c>
      <c r="BK73" s="28">
        <f t="shared" ca="1" si="91"/>
        <v>5.9493169135386408</v>
      </c>
      <c r="BL73" s="28">
        <f t="shared" si="71"/>
        <v>0.77974039280232299</v>
      </c>
      <c r="BM73" s="29">
        <f t="shared" ca="1" si="111"/>
        <v>4.638922707068124</v>
      </c>
      <c r="BN73" s="33"/>
      <c r="BO73" s="27">
        <v>11.5</v>
      </c>
      <c r="BP73" s="30">
        <f t="shared" si="92"/>
        <v>45495</v>
      </c>
      <c r="BQ73" s="26">
        <f t="shared" si="72"/>
        <v>45252</v>
      </c>
      <c r="BR73" s="55">
        <v>131</v>
      </c>
      <c r="BS73" s="56">
        <f t="shared" ca="1" si="112"/>
        <v>484.01868980965537</v>
      </c>
      <c r="BT73" s="28">
        <f t="shared" ca="1" si="93"/>
        <v>7.389256459899439</v>
      </c>
      <c r="BU73" s="28">
        <f t="shared" si="73"/>
        <v>0.77974039280232299</v>
      </c>
      <c r="BV73" s="29">
        <f t="shared" ca="1" si="113"/>
        <v>5.7617017345590913</v>
      </c>
      <c r="BW73" s="33"/>
      <c r="BX73" s="27">
        <v>11.5</v>
      </c>
      <c r="BY73" s="30">
        <f t="shared" si="94"/>
        <v>45495</v>
      </c>
      <c r="BZ73" s="26">
        <f t="shared" si="74"/>
        <v>45252</v>
      </c>
      <c r="CA73" s="55">
        <v>131</v>
      </c>
      <c r="CB73" s="56">
        <f t="shared" ca="1" si="114"/>
        <v>365.32686183203566</v>
      </c>
      <c r="CC73" s="28">
        <f t="shared" ca="1" si="95"/>
        <v>5.5772513140530986</v>
      </c>
      <c r="CD73" s="28">
        <f t="shared" si="75"/>
        <v>0.77974039280232299</v>
      </c>
      <c r="CE73" s="29">
        <f t="shared" ca="1" si="115"/>
        <v>4.3488081303770354</v>
      </c>
      <c r="CF73" s="33"/>
      <c r="CG73" s="27">
        <v>11.5</v>
      </c>
      <c r="CH73" s="30">
        <f t="shared" si="96"/>
        <v>45495</v>
      </c>
      <c r="CI73" s="26">
        <f t="shared" si="76"/>
        <v>45252</v>
      </c>
      <c r="CJ73" s="55">
        <v>131</v>
      </c>
      <c r="CK73" s="56">
        <f t="shared" ca="1" si="116"/>
        <v>237.56158573245662</v>
      </c>
      <c r="CL73" s="28">
        <f t="shared" ca="1" si="97"/>
        <v>3.6267266511709235</v>
      </c>
      <c r="CM73" s="28">
        <f t="shared" si="77"/>
        <v>0.77974039280232299</v>
      </c>
      <c r="CN73" s="29">
        <f t="shared" ca="1" si="117"/>
        <v>2.8279052635706692</v>
      </c>
      <c r="CO73" s="33"/>
      <c r="CP73" s="27">
        <v>11.5</v>
      </c>
      <c r="CQ73" s="30">
        <f t="shared" si="98"/>
        <v>45495</v>
      </c>
      <c r="CR73" s="26">
        <f t="shared" si="78"/>
        <v>45252</v>
      </c>
      <c r="CS73" s="55">
        <v>131</v>
      </c>
      <c r="CT73" s="56">
        <f t="shared" ca="1" si="118"/>
        <v>481.19440200368854</v>
      </c>
      <c r="CU73" s="28">
        <f t="shared" ca="1" si="99"/>
        <v>7.3461395568660812</v>
      </c>
      <c r="CV73" s="28">
        <f t="shared" si="79"/>
        <v>0.77974039280232299</v>
      </c>
      <c r="CW73" s="29">
        <f t="shared" ca="1" si="119"/>
        <v>5.7280817436514413</v>
      </c>
      <c r="CX73" s="33"/>
      <c r="CY73" s="33"/>
    </row>
    <row r="74" spans="1:103" ht="15.5" x14ac:dyDescent="0.35">
      <c r="A74" s="16"/>
      <c r="B74" s="16"/>
      <c r="C74" s="16"/>
      <c r="D74" s="16"/>
      <c r="E74" s="16"/>
      <c r="F74" s="16"/>
      <c r="G74" s="16"/>
      <c r="H74" s="16"/>
      <c r="I74" s="16"/>
      <c r="J74" s="16"/>
      <c r="K74" s="16"/>
      <c r="L74" s="16"/>
      <c r="M74" s="27">
        <v>12</v>
      </c>
      <c r="N74" s="30">
        <f t="shared" si="80"/>
        <v>45679</v>
      </c>
      <c r="O74" s="26">
        <f t="shared" si="60"/>
        <v>45434</v>
      </c>
      <c r="P74" s="55">
        <v>137</v>
      </c>
      <c r="Q74" s="56">
        <f t="shared" ca="1" si="100"/>
        <v>437.94824323724299</v>
      </c>
      <c r="R74" s="28">
        <f t="shared" ca="1" si="81"/>
        <v>6.6859234024930689</v>
      </c>
      <c r="S74" s="28">
        <f t="shared" si="61"/>
        <v>0.77135128585879409</v>
      </c>
      <c r="T74" s="29">
        <f t="shared" ca="1" si="101"/>
        <v>5.1571956136664321</v>
      </c>
      <c r="U74" s="16"/>
      <c r="V74" s="27">
        <v>12</v>
      </c>
      <c r="W74" s="30">
        <f t="shared" si="82"/>
        <v>45679</v>
      </c>
      <c r="X74" s="26">
        <f t="shared" si="62"/>
        <v>45434</v>
      </c>
      <c r="Y74" s="55">
        <v>137</v>
      </c>
      <c r="Z74" s="56">
        <f t="shared" ca="1" si="102"/>
        <v>393.223002302883</v>
      </c>
      <c r="AA74" s="28">
        <f t="shared" ca="1" si="83"/>
        <v>6.003126885638018</v>
      </c>
      <c r="AB74" s="28">
        <f t="shared" si="63"/>
        <v>0.77135128585879409</v>
      </c>
      <c r="AC74" s="29">
        <f t="shared" ca="1" si="103"/>
        <v>4.6305196424103832</v>
      </c>
      <c r="AD74" s="16"/>
      <c r="AE74" s="27">
        <v>12</v>
      </c>
      <c r="AF74" s="30">
        <f t="shared" si="84"/>
        <v>45679</v>
      </c>
      <c r="AG74" s="26">
        <f t="shared" si="64"/>
        <v>45434</v>
      </c>
      <c r="AH74" s="55">
        <v>137</v>
      </c>
      <c r="AI74" s="56">
        <f t="shared" ca="1" si="104"/>
        <v>437.85876923557362</v>
      </c>
      <c r="AJ74" s="28">
        <f t="shared" ca="1" si="85"/>
        <v>6.6845574503950456</v>
      </c>
      <c r="AK74" s="28">
        <f t="shared" si="65"/>
        <v>0.77135128585879409</v>
      </c>
      <c r="AL74" s="29">
        <f t="shared" ca="1" si="105"/>
        <v>5.1561419847592003</v>
      </c>
      <c r="AM74" s="33"/>
      <c r="AN74" s="27">
        <v>12</v>
      </c>
      <c r="AO74" s="30">
        <f t="shared" si="86"/>
        <v>45679</v>
      </c>
      <c r="AP74" s="26">
        <f t="shared" si="66"/>
        <v>45434</v>
      </c>
      <c r="AQ74" s="55">
        <v>137</v>
      </c>
      <c r="AR74" s="56">
        <f t="shared" ca="1" si="106"/>
        <v>365.34391429736667</v>
      </c>
      <c r="AS74" s="28">
        <f t="shared" ca="1" si="87"/>
        <v>5.5775116449912572</v>
      </c>
      <c r="AT74" s="28">
        <f t="shared" si="67"/>
        <v>0.77135128585879409</v>
      </c>
      <c r="AU74" s="29">
        <f t="shared" ca="1" si="107"/>
        <v>4.3022207792564044</v>
      </c>
      <c r="AV74" s="33"/>
      <c r="AW74" s="27">
        <v>12</v>
      </c>
      <c r="AX74" s="30">
        <f t="shared" si="88"/>
        <v>45679</v>
      </c>
      <c r="AY74" s="26">
        <f t="shared" si="68"/>
        <v>45434</v>
      </c>
      <c r="AZ74" s="55">
        <v>137</v>
      </c>
      <c r="BA74" s="56">
        <f t="shared" ca="1" si="108"/>
        <v>498.2655976099536</v>
      </c>
      <c r="BB74" s="28">
        <f t="shared" ca="1" si="89"/>
        <v>7.6067564401963672</v>
      </c>
      <c r="BC74" s="28">
        <f t="shared" si="69"/>
        <v>0.77135128585879409</v>
      </c>
      <c r="BD74" s="29">
        <f t="shared" ca="1" si="109"/>
        <v>5.8674813613601309</v>
      </c>
      <c r="BE74" s="33"/>
      <c r="BF74" s="27">
        <v>12</v>
      </c>
      <c r="BG74" s="30">
        <f t="shared" si="90"/>
        <v>45679</v>
      </c>
      <c r="BH74" s="26">
        <f t="shared" si="70"/>
        <v>45434</v>
      </c>
      <c r="BI74" s="55">
        <v>137</v>
      </c>
      <c r="BJ74" s="56">
        <f t="shared" ca="1" si="110"/>
        <v>397.93739772855668</v>
      </c>
      <c r="BK74" s="28">
        <f t="shared" ca="1" si="91"/>
        <v>6.0750990585873286</v>
      </c>
      <c r="BL74" s="28">
        <f t="shared" si="71"/>
        <v>0.77135128585879409</v>
      </c>
      <c r="BM74" s="29">
        <f t="shared" ca="1" si="111"/>
        <v>4.6860354705608858</v>
      </c>
      <c r="BN74" s="33"/>
      <c r="BO74" s="27">
        <v>12</v>
      </c>
      <c r="BP74" s="30">
        <f t="shared" si="92"/>
        <v>45679</v>
      </c>
      <c r="BQ74" s="26">
        <f t="shared" si="72"/>
        <v>45434</v>
      </c>
      <c r="BR74" s="55">
        <v>137</v>
      </c>
      <c r="BS74" s="56">
        <f t="shared" ca="1" si="112"/>
        <v>499.18307942254137</v>
      </c>
      <c r="BT74" s="28">
        <f t="shared" ca="1" si="93"/>
        <v>7.6207631481050457</v>
      </c>
      <c r="BU74" s="28">
        <f t="shared" si="73"/>
        <v>0.77135128585879409</v>
      </c>
      <c r="BV74" s="29">
        <f t="shared" ca="1" si="113"/>
        <v>5.8782854535161384</v>
      </c>
      <c r="BW74" s="33"/>
      <c r="BX74" s="27">
        <v>12</v>
      </c>
      <c r="BY74" s="30">
        <f t="shared" si="94"/>
        <v>45679</v>
      </c>
      <c r="BZ74" s="26">
        <f t="shared" si="74"/>
        <v>45434</v>
      </c>
      <c r="CA74" s="55">
        <v>137</v>
      </c>
      <c r="CB74" s="56">
        <f t="shared" ca="1" si="114"/>
        <v>371.94889753870547</v>
      </c>
      <c r="CC74" s="28">
        <f t="shared" ca="1" si="95"/>
        <v>5.6783464187533683</v>
      </c>
      <c r="CD74" s="28">
        <f t="shared" si="75"/>
        <v>0.77135128585879409</v>
      </c>
      <c r="CE74" s="29">
        <f t="shared" ca="1" si="115"/>
        <v>4.3799998116570888</v>
      </c>
      <c r="CF74" s="33"/>
      <c r="CG74" s="27">
        <v>12</v>
      </c>
      <c r="CH74" s="30">
        <f t="shared" si="96"/>
        <v>45679</v>
      </c>
      <c r="CI74" s="26">
        <f t="shared" si="76"/>
        <v>45434</v>
      </c>
      <c r="CJ74" s="55">
        <v>137</v>
      </c>
      <c r="CK74" s="56">
        <f t="shared" ca="1" si="116"/>
        <v>237.14683496982684</v>
      </c>
      <c r="CL74" s="28">
        <f t="shared" ca="1" si="97"/>
        <v>3.6203948713935445</v>
      </c>
      <c r="CM74" s="28">
        <f t="shared" si="77"/>
        <v>0.77135128585879409</v>
      </c>
      <c r="CN74" s="29">
        <f t="shared" ca="1" si="117"/>
        <v>2.7925962393659942</v>
      </c>
      <c r="CO74" s="33"/>
      <c r="CP74" s="27">
        <v>12</v>
      </c>
      <c r="CQ74" s="30">
        <f t="shared" si="98"/>
        <v>45679</v>
      </c>
      <c r="CR74" s="26">
        <f t="shared" si="78"/>
        <v>45434</v>
      </c>
      <c r="CS74" s="55">
        <v>137</v>
      </c>
      <c r="CT74" s="56">
        <f t="shared" ca="1" si="118"/>
        <v>496.13730454032185</v>
      </c>
      <c r="CU74" s="28">
        <f t="shared" ca="1" si="99"/>
        <v>7.5742649194257128</v>
      </c>
      <c r="CV74" s="28">
        <f t="shared" si="79"/>
        <v>0.77135128585879409</v>
      </c>
      <c r="CW74" s="29">
        <f t="shared" ca="1" si="119"/>
        <v>5.842418985034179</v>
      </c>
      <c r="CX74" s="33"/>
      <c r="CY74" s="33"/>
    </row>
    <row r="75" spans="1:103" ht="15.5" x14ac:dyDescent="0.35">
      <c r="A75" s="16"/>
      <c r="B75" s="16"/>
      <c r="C75" s="16"/>
      <c r="D75" s="16"/>
      <c r="E75" s="16"/>
      <c r="F75" s="16"/>
      <c r="G75" s="16"/>
      <c r="H75" s="16"/>
      <c r="I75" s="16"/>
      <c r="J75" s="16"/>
      <c r="K75" s="16"/>
      <c r="L75" s="16"/>
      <c r="M75" s="27">
        <v>12.5</v>
      </c>
      <c r="N75" s="30">
        <f t="shared" si="80"/>
        <v>45860</v>
      </c>
      <c r="O75" s="26">
        <f t="shared" si="60"/>
        <v>45618</v>
      </c>
      <c r="P75" s="55">
        <v>143</v>
      </c>
      <c r="Q75" s="56">
        <f t="shared" ca="1" si="100"/>
        <v>449.08784235385275</v>
      </c>
      <c r="R75" s="28">
        <f t="shared" ca="1" si="81"/>
        <v>6.8559857502207349</v>
      </c>
      <c r="S75" s="28">
        <f t="shared" si="61"/>
        <v>0.76305243602642503</v>
      </c>
      <c r="T75" s="29">
        <f t="shared" ca="1" si="101"/>
        <v>5.2314766280683891</v>
      </c>
      <c r="U75" s="16"/>
      <c r="V75" s="27">
        <v>12.5</v>
      </c>
      <c r="W75" s="30">
        <f t="shared" si="82"/>
        <v>45860</v>
      </c>
      <c r="X75" s="26">
        <f t="shared" si="62"/>
        <v>45618</v>
      </c>
      <c r="Y75" s="55">
        <v>143</v>
      </c>
      <c r="Z75" s="56">
        <f t="shared" ca="1" si="102"/>
        <v>401.32710793145731</v>
      </c>
      <c r="AA75" s="28">
        <f t="shared" ca="1" si="83"/>
        <v>6.1268479652748393</v>
      </c>
      <c r="AB75" s="28">
        <f t="shared" si="63"/>
        <v>0.76305243602642503</v>
      </c>
      <c r="AC75" s="29">
        <f t="shared" ca="1" si="103"/>
        <v>4.6751062650665114</v>
      </c>
      <c r="AD75" s="16"/>
      <c r="AE75" s="27">
        <v>12.5</v>
      </c>
      <c r="AF75" s="30">
        <f t="shared" si="84"/>
        <v>45860</v>
      </c>
      <c r="AG75" s="26">
        <f t="shared" si="64"/>
        <v>45618</v>
      </c>
      <c r="AH75" s="55">
        <v>143</v>
      </c>
      <c r="AI75" s="56">
        <f t="shared" ca="1" si="104"/>
        <v>448.99207468897646</v>
      </c>
      <c r="AJ75" s="28">
        <f t="shared" ca="1" si="85"/>
        <v>6.8545237161066916</v>
      </c>
      <c r="AK75" s="28">
        <f t="shared" si="65"/>
        <v>0.76305243602642503</v>
      </c>
      <c r="AL75" s="29">
        <f t="shared" ca="1" si="105"/>
        <v>5.2303610193761143</v>
      </c>
      <c r="AM75" s="33"/>
      <c r="AN75" s="27">
        <v>12.5</v>
      </c>
      <c r="AO75" s="30">
        <f t="shared" si="86"/>
        <v>45860</v>
      </c>
      <c r="AP75" s="26">
        <f t="shared" si="66"/>
        <v>45618</v>
      </c>
      <c r="AQ75" s="55">
        <v>143</v>
      </c>
      <c r="AR75" s="56">
        <f t="shared" ca="1" si="106"/>
        <v>371.67449142411363</v>
      </c>
      <c r="AS75" s="28">
        <f t="shared" ca="1" si="87"/>
        <v>5.6741572062341552</v>
      </c>
      <c r="AT75" s="28">
        <f t="shared" si="67"/>
        <v>0.76305243602642503</v>
      </c>
      <c r="AU75" s="29">
        <f t="shared" ca="1" si="107"/>
        <v>4.3296794786138664</v>
      </c>
      <c r="AV75" s="33"/>
      <c r="AW75" s="27">
        <v>12.5</v>
      </c>
      <c r="AX75" s="30">
        <f t="shared" si="88"/>
        <v>45860</v>
      </c>
      <c r="AY75" s="26">
        <f t="shared" si="68"/>
        <v>45618</v>
      </c>
      <c r="AZ75" s="55">
        <v>143</v>
      </c>
      <c r="BA75" s="56">
        <f t="shared" ca="1" si="108"/>
        <v>513.83494450852197</v>
      </c>
      <c r="BB75" s="28">
        <f t="shared" ca="1" si="89"/>
        <v>7.8444453963643719</v>
      </c>
      <c r="BC75" s="28">
        <f t="shared" si="69"/>
        <v>0.76305243602642503</v>
      </c>
      <c r="BD75" s="29">
        <f t="shared" ca="1" si="109"/>
        <v>5.9857231689721093</v>
      </c>
      <c r="BE75" s="33"/>
      <c r="BF75" s="27">
        <v>12.5</v>
      </c>
      <c r="BG75" s="30">
        <f t="shared" si="90"/>
        <v>45860</v>
      </c>
      <c r="BH75" s="26">
        <f t="shared" si="70"/>
        <v>45618</v>
      </c>
      <c r="BI75" s="55">
        <v>143</v>
      </c>
      <c r="BJ75" s="56">
        <f t="shared" ca="1" si="110"/>
        <v>406.35070302205793</v>
      </c>
      <c r="BK75" s="28">
        <f t="shared" ca="1" si="91"/>
        <v>6.2035405254107658</v>
      </c>
      <c r="BL75" s="28">
        <f t="shared" si="71"/>
        <v>0.76305243602642503</v>
      </c>
      <c r="BM75" s="29">
        <f t="shared" ca="1" si="111"/>
        <v>4.7336267099033336</v>
      </c>
      <c r="BN75" s="33"/>
      <c r="BO75" s="27">
        <v>12.5</v>
      </c>
      <c r="BP75" s="30">
        <f t="shared" si="92"/>
        <v>45860</v>
      </c>
      <c r="BQ75" s="26">
        <f t="shared" si="72"/>
        <v>45618</v>
      </c>
      <c r="BR75" s="55">
        <v>143</v>
      </c>
      <c r="BS75" s="56">
        <f t="shared" ca="1" si="112"/>
        <v>514.82257199564947</v>
      </c>
      <c r="BT75" s="28">
        <f t="shared" ca="1" si="93"/>
        <v>7.8595229810586762</v>
      </c>
      <c r="BU75" s="28">
        <f t="shared" si="73"/>
        <v>0.76305243602642503</v>
      </c>
      <c r="BV75" s="29">
        <f t="shared" ca="1" si="113"/>
        <v>5.9972281567024925</v>
      </c>
      <c r="BW75" s="33"/>
      <c r="BX75" s="27">
        <v>12.5</v>
      </c>
      <c r="BY75" s="30">
        <f t="shared" si="94"/>
        <v>45860</v>
      </c>
      <c r="BZ75" s="26">
        <f t="shared" si="74"/>
        <v>45618</v>
      </c>
      <c r="CA75" s="55">
        <v>143</v>
      </c>
      <c r="CB75" s="56">
        <f t="shared" ca="1" si="114"/>
        <v>378.69096645804541</v>
      </c>
      <c r="CC75" s="28">
        <f t="shared" ca="1" si="95"/>
        <v>5.7812740068076884</v>
      </c>
      <c r="CD75" s="28">
        <f t="shared" si="75"/>
        <v>0.76305243602642503</v>
      </c>
      <c r="CE75" s="29">
        <f t="shared" ca="1" si="115"/>
        <v>4.4114152142308578</v>
      </c>
      <c r="CF75" s="33"/>
      <c r="CG75" s="27">
        <v>12.5</v>
      </c>
      <c r="CH75" s="30">
        <f t="shared" si="96"/>
        <v>45860</v>
      </c>
      <c r="CI75" s="26">
        <f t="shared" si="76"/>
        <v>45618</v>
      </c>
      <c r="CJ75" s="55">
        <v>143</v>
      </c>
      <c r="CK75" s="56">
        <f t="shared" ca="1" si="116"/>
        <v>236.7328083065693</v>
      </c>
      <c r="CL75" s="28">
        <f t="shared" ca="1" si="97"/>
        <v>3.6140741460569887</v>
      </c>
      <c r="CM75" s="28">
        <f t="shared" si="77"/>
        <v>0.76305243602642503</v>
      </c>
      <c r="CN75" s="29">
        <f t="shared" ca="1" si="117"/>
        <v>2.7577280811289069</v>
      </c>
      <c r="CO75" s="33"/>
      <c r="CP75" s="27">
        <v>12.5</v>
      </c>
      <c r="CQ75" s="30">
        <f t="shared" si="98"/>
        <v>45860</v>
      </c>
      <c r="CR75" s="26">
        <f t="shared" si="78"/>
        <v>45618</v>
      </c>
      <c r="CS75" s="55">
        <v>143</v>
      </c>
      <c r="CT75" s="56">
        <f t="shared" ca="1" si="118"/>
        <v>511.54424060537838</v>
      </c>
      <c r="CU75" s="28">
        <f t="shared" ca="1" si="99"/>
        <v>7.8094744355928416</v>
      </c>
      <c r="CV75" s="28">
        <f t="shared" si="79"/>
        <v>0.76305243602642503</v>
      </c>
      <c r="CW75" s="29">
        <f t="shared" ca="1" si="119"/>
        <v>5.9590384921652086</v>
      </c>
      <c r="CX75" s="33"/>
      <c r="CY75" s="33"/>
    </row>
    <row r="76" spans="1:103" ht="15.5" x14ac:dyDescent="0.35">
      <c r="A76" s="16"/>
      <c r="B76" s="16"/>
      <c r="C76" s="16"/>
      <c r="D76" s="16"/>
      <c r="E76" s="16"/>
      <c r="F76" s="16"/>
      <c r="G76" s="16"/>
      <c r="H76" s="16"/>
      <c r="I76" s="16"/>
      <c r="J76" s="16"/>
      <c r="K76" s="16"/>
      <c r="L76" s="16"/>
      <c r="M76" s="27">
        <v>13</v>
      </c>
      <c r="N76" s="30">
        <f t="shared" si="80"/>
        <v>46044</v>
      </c>
      <c r="O76" s="26">
        <f t="shared" si="60"/>
        <v>45799</v>
      </c>
      <c r="P76" s="55">
        <v>149</v>
      </c>
      <c r="Q76" s="56">
        <f t="shared" ca="1" si="100"/>
        <v>460.51078698079385</v>
      </c>
      <c r="R76" s="28">
        <f t="shared" ca="1" si="81"/>
        <v>7.0303737834780708</v>
      </c>
      <c r="S76" s="28">
        <f t="shared" si="61"/>
        <v>0.75484287224284308</v>
      </c>
      <c r="T76" s="29">
        <f t="shared" ca="1" si="101"/>
        <v>5.3068275396613709</v>
      </c>
      <c r="U76" s="16"/>
      <c r="V76" s="27">
        <v>13</v>
      </c>
      <c r="W76" s="30">
        <f t="shared" si="82"/>
        <v>46044</v>
      </c>
      <c r="X76" s="26">
        <f t="shared" si="62"/>
        <v>45799</v>
      </c>
      <c r="Y76" s="55">
        <v>149</v>
      </c>
      <c r="Z76" s="56">
        <f t="shared" ca="1" si="102"/>
        <v>409.59823463370856</v>
      </c>
      <c r="AA76" s="28">
        <f t="shared" ca="1" si="83"/>
        <v>6.2531188670023976</v>
      </c>
      <c r="AB76" s="28">
        <f t="shared" si="63"/>
        <v>0.75484287224284308</v>
      </c>
      <c r="AC76" s="29">
        <f t="shared" ca="1" si="103"/>
        <v>4.7201222060440022</v>
      </c>
      <c r="AD76" s="16"/>
      <c r="AE76" s="27">
        <v>13</v>
      </c>
      <c r="AF76" s="30">
        <f t="shared" si="84"/>
        <v>46044</v>
      </c>
      <c r="AG76" s="26">
        <f t="shared" si="64"/>
        <v>45799</v>
      </c>
      <c r="AH76" s="55">
        <v>149</v>
      </c>
      <c r="AI76" s="56">
        <f t="shared" ca="1" si="104"/>
        <v>460.40846340809793</v>
      </c>
      <c r="AJ76" s="28">
        <f t="shared" ca="1" si="85"/>
        <v>7.0288116637986819</v>
      </c>
      <c r="AK76" s="28">
        <f t="shared" si="65"/>
        <v>0.75484287224284308</v>
      </c>
      <c r="AL76" s="29">
        <f t="shared" ca="1" si="105"/>
        <v>5.305648384755794</v>
      </c>
      <c r="AM76" s="33"/>
      <c r="AN76" s="27">
        <v>13</v>
      </c>
      <c r="AO76" s="30">
        <f t="shared" si="86"/>
        <v>46044</v>
      </c>
      <c r="AP76" s="26">
        <f t="shared" si="66"/>
        <v>45799</v>
      </c>
      <c r="AQ76" s="55">
        <v>149</v>
      </c>
      <c r="AR76" s="56">
        <f t="shared" ca="1" si="106"/>
        <v>378.11476302006992</v>
      </c>
      <c r="AS76" s="28">
        <f t="shared" ca="1" si="87"/>
        <v>5.7724774147216449</v>
      </c>
      <c r="AT76" s="28">
        <f t="shared" si="67"/>
        <v>0.75484287224284308</v>
      </c>
      <c r="AU76" s="29">
        <f t="shared" ca="1" si="107"/>
        <v>4.3573134316854274</v>
      </c>
      <c r="AV76" s="33"/>
      <c r="AW76" s="27">
        <v>13</v>
      </c>
      <c r="AX76" s="30">
        <f t="shared" si="88"/>
        <v>46044</v>
      </c>
      <c r="AY76" s="26">
        <f t="shared" si="68"/>
        <v>45799</v>
      </c>
      <c r="AZ76" s="55">
        <v>149</v>
      </c>
      <c r="BA76" s="56">
        <f t="shared" ca="1" si="108"/>
        <v>529.89078809482191</v>
      </c>
      <c r="BB76" s="28">
        <f t="shared" ca="1" si="89"/>
        <v>8.0895614392714297</v>
      </c>
      <c r="BC76" s="28">
        <f t="shared" si="69"/>
        <v>0.75484287224284308</v>
      </c>
      <c r="BD76" s="29">
        <f t="shared" ca="1" si="109"/>
        <v>6.1063477920045939</v>
      </c>
      <c r="BE76" s="33"/>
      <c r="BF76" s="27">
        <v>13</v>
      </c>
      <c r="BG76" s="30">
        <f t="shared" si="90"/>
        <v>46044</v>
      </c>
      <c r="BH76" s="26">
        <f t="shared" si="70"/>
        <v>45799</v>
      </c>
      <c r="BI76" s="55">
        <v>149</v>
      </c>
      <c r="BJ76" s="56">
        <f t="shared" ca="1" si="110"/>
        <v>414.94188480157345</v>
      </c>
      <c r="BK76" s="28">
        <f t="shared" ca="1" si="91"/>
        <v>6.3346975381439323</v>
      </c>
      <c r="BL76" s="28">
        <f t="shared" si="71"/>
        <v>0.75484287224284308</v>
      </c>
      <c r="BM76" s="29">
        <f t="shared" ca="1" si="111"/>
        <v>4.7817012844822333</v>
      </c>
      <c r="BN76" s="33"/>
      <c r="BO76" s="27">
        <v>13</v>
      </c>
      <c r="BP76" s="30">
        <f t="shared" si="92"/>
        <v>46044</v>
      </c>
      <c r="BQ76" s="26">
        <f t="shared" si="72"/>
        <v>45799</v>
      </c>
      <c r="BR76" s="55">
        <v>149</v>
      </c>
      <c r="BS76" s="56">
        <f t="shared" ca="1" si="112"/>
        <v>530.95205258723604</v>
      </c>
      <c r="BT76" s="28">
        <f t="shared" ca="1" si="93"/>
        <v>8.1057632010449616</v>
      </c>
      <c r="BU76" s="28">
        <f t="shared" si="73"/>
        <v>0.75484287224284308</v>
      </c>
      <c r="BV76" s="29">
        <f t="shared" ca="1" si="113"/>
        <v>6.1185775763971204</v>
      </c>
      <c r="BW76" s="33"/>
      <c r="BX76" s="27">
        <v>13</v>
      </c>
      <c r="BY76" s="30">
        <f t="shared" si="94"/>
        <v>46044</v>
      </c>
      <c r="BZ76" s="26">
        <f t="shared" si="74"/>
        <v>45799</v>
      </c>
      <c r="CA76" s="55">
        <v>149</v>
      </c>
      <c r="CB76" s="56">
        <f t="shared" ca="1" si="114"/>
        <v>385.55524435182764</v>
      </c>
      <c r="CC76" s="28">
        <f t="shared" ca="1" si="95"/>
        <v>5.8860672944163177</v>
      </c>
      <c r="CD76" s="28">
        <f t="shared" si="75"/>
        <v>0.75484287224284308</v>
      </c>
      <c r="CE76" s="29">
        <f t="shared" ca="1" si="115"/>
        <v>4.4430559427318732</v>
      </c>
      <c r="CF76" s="33"/>
      <c r="CG76" s="27">
        <v>13</v>
      </c>
      <c r="CH76" s="30">
        <f t="shared" si="96"/>
        <v>46044</v>
      </c>
      <c r="CI76" s="26">
        <f t="shared" si="76"/>
        <v>45799</v>
      </c>
      <c r="CJ76" s="55">
        <v>149</v>
      </c>
      <c r="CK76" s="56">
        <f t="shared" ca="1" si="116"/>
        <v>236.31950447850335</v>
      </c>
      <c r="CL76" s="28">
        <f t="shared" ca="1" si="97"/>
        <v>3.6077644558616817</v>
      </c>
      <c r="CM76" s="28">
        <f t="shared" si="77"/>
        <v>0.75484287224284308</v>
      </c>
      <c r="CN76" s="29">
        <f t="shared" ca="1" si="117"/>
        <v>2.7232952842382696</v>
      </c>
      <c r="CO76" s="33"/>
      <c r="CP76" s="27">
        <v>13</v>
      </c>
      <c r="CQ76" s="30">
        <f t="shared" si="98"/>
        <v>46044</v>
      </c>
      <c r="CR76" s="26">
        <f t="shared" si="78"/>
        <v>45799</v>
      </c>
      <c r="CS76" s="55">
        <v>149</v>
      </c>
      <c r="CT76" s="56">
        <f t="shared" ca="1" si="118"/>
        <v>527.42962019149343</v>
      </c>
      <c r="CU76" s="28">
        <f t="shared" ca="1" si="99"/>
        <v>8.0519880950773892</v>
      </c>
      <c r="CV76" s="28">
        <f t="shared" si="79"/>
        <v>0.75484287224284308</v>
      </c>
      <c r="CW76" s="29">
        <f t="shared" ca="1" si="119"/>
        <v>6.077985820953395</v>
      </c>
      <c r="CX76" s="33"/>
      <c r="CY76" s="33"/>
    </row>
    <row r="77" spans="1:103" ht="15.5" x14ac:dyDescent="0.35">
      <c r="A77" s="16"/>
      <c r="B77" s="16"/>
      <c r="C77" s="16"/>
      <c r="D77" s="16"/>
      <c r="E77" s="16"/>
      <c r="F77" s="16"/>
      <c r="G77" s="16"/>
      <c r="H77" s="16"/>
      <c r="I77" s="16"/>
      <c r="J77" s="16"/>
      <c r="K77" s="16"/>
      <c r="L77" s="16"/>
      <c r="M77" s="27">
        <v>13.5</v>
      </c>
      <c r="N77" s="30">
        <f t="shared" si="80"/>
        <v>46225</v>
      </c>
      <c r="O77" s="26">
        <f t="shared" si="60"/>
        <v>45983</v>
      </c>
      <c r="P77" s="55">
        <v>155</v>
      </c>
      <c r="Q77" s="56">
        <f t="shared" ca="1" si="100"/>
        <v>472.22428426056615</v>
      </c>
      <c r="R77" s="28">
        <f t="shared" ca="1" si="81"/>
        <v>7.2091975298846611</v>
      </c>
      <c r="S77" s="28">
        <f t="shared" si="61"/>
        <v>0.74672163389318102</v>
      </c>
      <c r="T77" s="29">
        <f t="shared" ca="1" si="101"/>
        <v>5.3832637585741585</v>
      </c>
      <c r="U77" s="16"/>
      <c r="V77" s="27">
        <v>13.5</v>
      </c>
      <c r="W77" s="30">
        <f t="shared" si="82"/>
        <v>46225</v>
      </c>
      <c r="X77" s="26">
        <f t="shared" si="62"/>
        <v>45983</v>
      </c>
      <c r="Y77" s="55">
        <v>155</v>
      </c>
      <c r="Z77" s="56">
        <f t="shared" ca="1" si="102"/>
        <v>418.03982462032985</v>
      </c>
      <c r="AA77" s="28">
        <f t="shared" ca="1" si="83"/>
        <v>6.3819921412245026</v>
      </c>
      <c r="AB77" s="28">
        <f t="shared" si="63"/>
        <v>0.74672163389318102</v>
      </c>
      <c r="AC77" s="29">
        <f t="shared" ca="1" si="103"/>
        <v>4.7655715991886014</v>
      </c>
      <c r="AD77" s="16"/>
      <c r="AE77" s="27">
        <v>13.5</v>
      </c>
      <c r="AF77" s="30">
        <f t="shared" si="84"/>
        <v>46225</v>
      </c>
      <c r="AG77" s="26">
        <f t="shared" si="64"/>
        <v>45983</v>
      </c>
      <c r="AH77" s="55">
        <v>155</v>
      </c>
      <c r="AI77" s="56">
        <f t="shared" ca="1" si="104"/>
        <v>472.11513326742971</v>
      </c>
      <c r="AJ77" s="28">
        <f t="shared" ca="1" si="85"/>
        <v>7.2075311796008421</v>
      </c>
      <c r="AK77" s="28">
        <f t="shared" si="65"/>
        <v>0.74672163389318102</v>
      </c>
      <c r="AL77" s="29">
        <f t="shared" ca="1" si="105"/>
        <v>5.3820194587675871</v>
      </c>
      <c r="AM77" s="33"/>
      <c r="AN77" s="27">
        <v>13.5</v>
      </c>
      <c r="AO77" s="30">
        <f t="shared" si="86"/>
        <v>46225</v>
      </c>
      <c r="AP77" s="26">
        <f t="shared" si="66"/>
        <v>45983</v>
      </c>
      <c r="AQ77" s="55">
        <v>155</v>
      </c>
      <c r="AR77" s="56">
        <f t="shared" ca="1" si="106"/>
        <v>384.66662984030643</v>
      </c>
      <c r="AS77" s="28">
        <f t="shared" ca="1" si="87"/>
        <v>5.8725012882726286</v>
      </c>
      <c r="AT77" s="28">
        <f t="shared" si="67"/>
        <v>0.74672163389318102</v>
      </c>
      <c r="AU77" s="29">
        <f t="shared" ca="1" si="107"/>
        <v>4.3851237570187473</v>
      </c>
      <c r="AV77" s="33"/>
      <c r="AW77" s="27">
        <v>13.5</v>
      </c>
      <c r="AX77" s="30">
        <f t="shared" si="88"/>
        <v>46225</v>
      </c>
      <c r="AY77" s="26">
        <f t="shared" si="68"/>
        <v>45983</v>
      </c>
      <c r="AZ77" s="55">
        <v>155</v>
      </c>
      <c r="BA77" s="56">
        <f t="shared" ca="1" si="108"/>
        <v>546.44832997163883</v>
      </c>
      <c r="BB77" s="28">
        <f t="shared" ca="1" si="89"/>
        <v>8.3423366437195039</v>
      </c>
      <c r="BC77" s="28">
        <f t="shared" si="69"/>
        <v>0.74672163389318102</v>
      </c>
      <c r="BD77" s="29">
        <f t="shared" ca="1" si="109"/>
        <v>6.2294032490851841</v>
      </c>
      <c r="BE77" s="33"/>
      <c r="BF77" s="27">
        <v>13.5</v>
      </c>
      <c r="BG77" s="30">
        <f t="shared" si="90"/>
        <v>46225</v>
      </c>
      <c r="BH77" s="26">
        <f t="shared" si="70"/>
        <v>45983</v>
      </c>
      <c r="BI77" s="55">
        <v>155</v>
      </c>
      <c r="BJ77" s="56">
        <f t="shared" ca="1" si="110"/>
        <v>423.71470378220556</v>
      </c>
      <c r="BK77" s="28">
        <f t="shared" ca="1" si="91"/>
        <v>6.4686275096284156</v>
      </c>
      <c r="BL77" s="28">
        <f t="shared" si="71"/>
        <v>0.74672163389318102</v>
      </c>
      <c r="BM77" s="29">
        <f t="shared" ca="1" si="111"/>
        <v>4.8302641030361091</v>
      </c>
      <c r="BN77" s="33"/>
      <c r="BO77" s="27">
        <v>13.5</v>
      </c>
      <c r="BP77" s="30">
        <f t="shared" si="92"/>
        <v>46225</v>
      </c>
      <c r="BQ77" s="26">
        <f t="shared" si="72"/>
        <v>45983</v>
      </c>
      <c r="BR77" s="55">
        <v>155</v>
      </c>
      <c r="BS77" s="56">
        <f t="shared" ca="1" si="112"/>
        <v>547.58687260701822</v>
      </c>
      <c r="BT77" s="28">
        <f t="shared" ca="1" si="93"/>
        <v>8.3597181698887866</v>
      </c>
      <c r="BU77" s="28">
        <f t="shared" si="73"/>
        <v>0.74672163389318102</v>
      </c>
      <c r="BV77" s="29">
        <f t="shared" ca="1" si="113"/>
        <v>6.2423824107058676</v>
      </c>
      <c r="BW77" s="33"/>
      <c r="BX77" s="27">
        <v>13.5</v>
      </c>
      <c r="BY77" s="30">
        <f t="shared" si="94"/>
        <v>46225</v>
      </c>
      <c r="BZ77" s="26">
        <f t="shared" si="74"/>
        <v>45983</v>
      </c>
      <c r="CA77" s="55">
        <v>155</v>
      </c>
      <c r="CB77" s="56">
        <f t="shared" ca="1" si="114"/>
        <v>392.54394642040279</v>
      </c>
      <c r="CC77" s="28">
        <f t="shared" ca="1" si="95"/>
        <v>5.9927600998673629</v>
      </c>
      <c r="CD77" s="28">
        <f t="shared" si="75"/>
        <v>0.74672163389318102</v>
      </c>
      <c r="CE77" s="29">
        <f t="shared" ca="1" si="115"/>
        <v>4.4749236133028196</v>
      </c>
      <c r="CF77" s="33"/>
      <c r="CG77" s="27">
        <v>13.5</v>
      </c>
      <c r="CH77" s="30">
        <f t="shared" si="96"/>
        <v>46225</v>
      </c>
      <c r="CI77" s="26">
        <f t="shared" si="76"/>
        <v>45983</v>
      </c>
      <c r="CJ77" s="55">
        <v>155</v>
      </c>
      <c r="CK77" s="56">
        <f t="shared" ca="1" si="116"/>
        <v>235.90692222365539</v>
      </c>
      <c r="CL77" s="28">
        <f t="shared" ca="1" si="97"/>
        <v>3.6014657815417417</v>
      </c>
      <c r="CM77" s="28">
        <f t="shared" si="77"/>
        <v>0.74672163389318102</v>
      </c>
      <c r="CN77" s="29">
        <f t="shared" ca="1" si="117"/>
        <v>2.6892924128032316</v>
      </c>
      <c r="CO77" s="33"/>
      <c r="CP77" s="27">
        <v>13.5</v>
      </c>
      <c r="CQ77" s="30">
        <f t="shared" si="98"/>
        <v>46225</v>
      </c>
      <c r="CR77" s="26">
        <f t="shared" si="78"/>
        <v>45983</v>
      </c>
      <c r="CS77" s="55">
        <v>155</v>
      </c>
      <c r="CT77" s="56">
        <f t="shared" ca="1" si="118"/>
        <v>543.80830077596659</v>
      </c>
      <c r="CU77" s="28">
        <f t="shared" ca="1" si="99"/>
        <v>8.3020327191001559</v>
      </c>
      <c r="CV77" s="28">
        <f t="shared" si="79"/>
        <v>0.74672163389318102</v>
      </c>
      <c r="CW77" s="29">
        <f t="shared" ca="1" si="119"/>
        <v>6.1993074366411172</v>
      </c>
      <c r="CX77" s="33"/>
      <c r="CY77" s="33"/>
    </row>
    <row r="78" spans="1:103" ht="15.5" x14ac:dyDescent="0.35">
      <c r="A78" s="16"/>
      <c r="B78" s="16"/>
      <c r="C78" s="16"/>
      <c r="D78" s="16"/>
      <c r="E78" s="16"/>
      <c r="F78" s="16"/>
      <c r="G78" s="16"/>
      <c r="H78" s="16"/>
      <c r="I78" s="16"/>
      <c r="J78" s="16"/>
      <c r="K78" s="16"/>
      <c r="L78" s="16"/>
      <c r="M78" s="27">
        <v>14</v>
      </c>
      <c r="N78" s="30">
        <f t="shared" si="80"/>
        <v>46409</v>
      </c>
      <c r="O78" s="26">
        <f t="shared" si="60"/>
        <v>46164</v>
      </c>
      <c r="P78" s="55">
        <v>161</v>
      </c>
      <c r="Q78" s="56">
        <f t="shared" ca="1" si="100"/>
        <v>484.23572465568395</v>
      </c>
      <c r="R78" s="28">
        <f t="shared" ca="1" si="81"/>
        <v>7.3925698157094608</v>
      </c>
      <c r="S78" s="28">
        <f t="shared" si="61"/>
        <v>0.73868777069768476</v>
      </c>
      <c r="T78" s="29">
        <f t="shared" ca="1" si="101"/>
        <v>5.4608009168934162</v>
      </c>
      <c r="U78" s="16"/>
      <c r="V78" s="27">
        <v>14</v>
      </c>
      <c r="W78" s="30">
        <f t="shared" si="82"/>
        <v>46409</v>
      </c>
      <c r="X78" s="26">
        <f t="shared" si="62"/>
        <v>46164</v>
      </c>
      <c r="Y78" s="55">
        <v>161</v>
      </c>
      <c r="Z78" s="56">
        <f t="shared" ca="1" si="102"/>
        <v>426.65539104404667</v>
      </c>
      <c r="AA78" s="28">
        <f t="shared" ca="1" si="83"/>
        <v>6.5135214213793216</v>
      </c>
      <c r="AB78" s="28">
        <f t="shared" si="63"/>
        <v>0.73868777069768476</v>
      </c>
      <c r="AC78" s="29">
        <f t="shared" ca="1" si="103"/>
        <v>4.8114586181503061</v>
      </c>
      <c r="AD78" s="16"/>
      <c r="AE78" s="27">
        <v>14</v>
      </c>
      <c r="AF78" s="30">
        <f t="shared" si="84"/>
        <v>46409</v>
      </c>
      <c r="AG78" s="26">
        <f t="shared" si="64"/>
        <v>46164</v>
      </c>
      <c r="AH78" s="55">
        <v>161</v>
      </c>
      <c r="AI78" s="56">
        <f t="shared" ca="1" si="104"/>
        <v>484.1194651596897</v>
      </c>
      <c r="AJ78" s="28">
        <f t="shared" ca="1" si="85"/>
        <v>7.3907949436851217</v>
      </c>
      <c r="AK78" s="28">
        <f t="shared" si="65"/>
        <v>0.73868777069768476</v>
      </c>
      <c r="AL78" s="29">
        <f t="shared" ca="1" si="105"/>
        <v>5.4594898406344834</v>
      </c>
      <c r="AM78" s="33"/>
      <c r="AN78" s="27">
        <v>14</v>
      </c>
      <c r="AO78" s="30">
        <f t="shared" si="86"/>
        <v>46409</v>
      </c>
      <c r="AP78" s="26">
        <f t="shared" si="66"/>
        <v>46164</v>
      </c>
      <c r="AQ78" s="55">
        <v>161</v>
      </c>
      <c r="AR78" s="56">
        <f t="shared" ca="1" si="106"/>
        <v>391.3320255756459</v>
      </c>
      <c r="AS78" s="28">
        <f t="shared" ca="1" si="87"/>
        <v>5.974258347518651</v>
      </c>
      <c r="AT78" s="28">
        <f t="shared" si="67"/>
        <v>0.73868777069768476</v>
      </c>
      <c r="AU78" s="29">
        <f t="shared" ca="1" si="107"/>
        <v>4.413111580300586</v>
      </c>
      <c r="AV78" s="33"/>
      <c r="AW78" s="27">
        <v>14</v>
      </c>
      <c r="AX78" s="30">
        <f t="shared" si="88"/>
        <v>46409</v>
      </c>
      <c r="AY78" s="26">
        <f t="shared" si="68"/>
        <v>46164</v>
      </c>
      <c r="AZ78" s="55">
        <v>161</v>
      </c>
      <c r="BA78" s="56">
        <f t="shared" ca="1" si="108"/>
        <v>563.52324674751424</v>
      </c>
      <c r="BB78" s="28">
        <f t="shared" ca="1" si="89"/>
        <v>8.6030103361713408</v>
      </c>
      <c r="BC78" s="28">
        <f t="shared" si="69"/>
        <v>0.73868777069768476</v>
      </c>
      <c r="BD78" s="29">
        <f t="shared" ca="1" si="109"/>
        <v>6.3549385265155474</v>
      </c>
      <c r="BE78" s="33"/>
      <c r="BF78" s="27">
        <v>14</v>
      </c>
      <c r="BG78" s="30">
        <f t="shared" si="90"/>
        <v>46409</v>
      </c>
      <c r="BH78" s="26">
        <f t="shared" si="70"/>
        <v>46164</v>
      </c>
      <c r="BI78" s="55">
        <v>161</v>
      </c>
      <c r="BJ78" s="56">
        <f t="shared" ca="1" si="110"/>
        <v>432.67300018916154</v>
      </c>
      <c r="BK78" s="28">
        <f t="shared" ca="1" si="91"/>
        <v>6.6053890665443795</v>
      </c>
      <c r="BL78" s="28">
        <f t="shared" si="71"/>
        <v>0.73868777069768476</v>
      </c>
      <c r="BM78" s="29">
        <f t="shared" ca="1" si="111"/>
        <v>4.8793201241565285</v>
      </c>
      <c r="BN78" s="33"/>
      <c r="BO78" s="27">
        <v>14</v>
      </c>
      <c r="BP78" s="30">
        <f t="shared" si="92"/>
        <v>46409</v>
      </c>
      <c r="BQ78" s="26">
        <f t="shared" si="72"/>
        <v>46164</v>
      </c>
      <c r="BR78" s="55">
        <v>161</v>
      </c>
      <c r="BS78" s="56">
        <f t="shared" ca="1" si="112"/>
        <v>564.74286442704499</v>
      </c>
      <c r="BT78" s="28">
        <f t="shared" ca="1" si="93"/>
        <v>8.621629592011697</v>
      </c>
      <c r="BU78" s="28">
        <f t="shared" si="73"/>
        <v>0.73868777069768476</v>
      </c>
      <c r="BV78" s="29">
        <f t="shared" ca="1" si="113"/>
        <v>6.3686923431043096</v>
      </c>
      <c r="BW78" s="33"/>
      <c r="BX78" s="27">
        <v>14</v>
      </c>
      <c r="BY78" s="30">
        <f t="shared" si="94"/>
        <v>46409</v>
      </c>
      <c r="BZ78" s="26">
        <f t="shared" si="74"/>
        <v>46164</v>
      </c>
      <c r="CA78" s="55">
        <v>161</v>
      </c>
      <c r="CB78" s="56">
        <f t="shared" ca="1" si="114"/>
        <v>399.6593280175768</v>
      </c>
      <c r="CC78" s="28">
        <f t="shared" ca="1" si="95"/>
        <v>6.1013868544504231</v>
      </c>
      <c r="CD78" s="28">
        <f t="shared" si="75"/>
        <v>0.73868777069768476</v>
      </c>
      <c r="CE78" s="29">
        <f t="shared" ca="1" si="115"/>
        <v>4.5070198536781421</v>
      </c>
      <c r="CF78" s="33"/>
      <c r="CG78" s="27">
        <v>14</v>
      </c>
      <c r="CH78" s="30">
        <f t="shared" si="96"/>
        <v>46409</v>
      </c>
      <c r="CI78" s="26">
        <f t="shared" si="76"/>
        <v>46164</v>
      </c>
      <c r="CJ78" s="55">
        <v>161</v>
      </c>
      <c r="CK78" s="56">
        <f t="shared" ca="1" si="116"/>
        <v>235.49506028225508</v>
      </c>
      <c r="CL78" s="28">
        <f t="shared" ca="1" si="97"/>
        <v>3.5951781038649235</v>
      </c>
      <c r="CM78" s="28">
        <f t="shared" si="77"/>
        <v>0.73868777069768476</v>
      </c>
      <c r="CN78" s="29">
        <f t="shared" ca="1" si="117"/>
        <v>2.6557140988051096</v>
      </c>
      <c r="CO78" s="33"/>
      <c r="CP78" s="27">
        <v>14</v>
      </c>
      <c r="CQ78" s="30">
        <f t="shared" si="98"/>
        <v>46409</v>
      </c>
      <c r="CR78" s="26">
        <f t="shared" si="78"/>
        <v>46164</v>
      </c>
      <c r="CS78" s="55">
        <v>161</v>
      </c>
      <c r="CT78" s="56">
        <f t="shared" ca="1" si="118"/>
        <v>560.69560121684981</v>
      </c>
      <c r="CU78" s="28">
        <f t="shared" ca="1" si="99"/>
        <v>8.5598421725370297</v>
      </c>
      <c r="CV78" s="28">
        <f t="shared" si="79"/>
        <v>0.73868777069768476</v>
      </c>
      <c r="CW78" s="29">
        <f t="shared" ca="1" si="119"/>
        <v>6.323050731955405</v>
      </c>
      <c r="CX78" s="33"/>
      <c r="CY78" s="33"/>
    </row>
    <row r="79" spans="1:103" ht="15.5" x14ac:dyDescent="0.35">
      <c r="A79" s="16"/>
      <c r="B79" s="16"/>
      <c r="C79" s="16"/>
      <c r="D79" s="16"/>
      <c r="E79" s="16"/>
      <c r="F79" s="16"/>
      <c r="G79" s="16"/>
      <c r="H79" s="16"/>
      <c r="I79" s="16"/>
      <c r="J79" s="16"/>
      <c r="K79" s="16"/>
      <c r="L79" s="16"/>
      <c r="M79" s="27">
        <v>14.5</v>
      </c>
      <c r="N79" s="30">
        <f t="shared" si="80"/>
        <v>46590</v>
      </c>
      <c r="O79" s="26">
        <f t="shared" si="60"/>
        <v>46348</v>
      </c>
      <c r="P79" s="55">
        <v>167</v>
      </c>
      <c r="Q79" s="56">
        <f t="shared" ca="1" si="100"/>
        <v>496.55268661158163</v>
      </c>
      <c r="R79" s="28">
        <f t="shared" ca="1" si="81"/>
        <v>7.580606337056901</v>
      </c>
      <c r="S79" s="28">
        <f t="shared" si="61"/>
        <v>0.73074034260050791</v>
      </c>
      <c r="T79" s="29">
        <f t="shared" ca="1" si="101"/>
        <v>5.5394548718605412</v>
      </c>
      <c r="U79" s="16"/>
      <c r="V79" s="27">
        <v>14.5</v>
      </c>
      <c r="W79" s="30">
        <f t="shared" si="82"/>
        <v>46590</v>
      </c>
      <c r="X79" s="26">
        <f t="shared" si="62"/>
        <v>46348</v>
      </c>
      <c r="Y79" s="55">
        <v>167</v>
      </c>
      <c r="Z79" s="56">
        <f t="shared" ca="1" si="102"/>
        <v>435.44851946169291</v>
      </c>
      <c r="AA79" s="28">
        <f t="shared" ca="1" si="83"/>
        <v>6.647761446260116</v>
      </c>
      <c r="AB79" s="28">
        <f t="shared" si="63"/>
        <v>0.73074034260050791</v>
      </c>
      <c r="AC79" s="29">
        <f t="shared" ca="1" si="103"/>
        <v>4.857787476766565</v>
      </c>
      <c r="AD79" s="16"/>
      <c r="AE79" s="27">
        <v>14.5</v>
      </c>
      <c r="AF79" s="30">
        <f t="shared" si="84"/>
        <v>46590</v>
      </c>
      <c r="AG79" s="26">
        <f t="shared" si="64"/>
        <v>46348</v>
      </c>
      <c r="AH79" s="55">
        <v>167</v>
      </c>
      <c r="AI79" s="56">
        <f t="shared" ca="1" si="104"/>
        <v>496.4290276493723</v>
      </c>
      <c r="AJ79" s="28">
        <f t="shared" ca="1" si="85"/>
        <v>7.5787185013088854</v>
      </c>
      <c r="AK79" s="28">
        <f t="shared" si="65"/>
        <v>0.73074034260050791</v>
      </c>
      <c r="AL79" s="29">
        <f t="shared" ca="1" si="105"/>
        <v>5.5380753541192629</v>
      </c>
      <c r="AM79" s="33"/>
      <c r="AN79" s="27">
        <v>14.5</v>
      </c>
      <c r="AO79" s="30">
        <f t="shared" si="86"/>
        <v>46590</v>
      </c>
      <c r="AP79" s="26">
        <f t="shared" si="66"/>
        <v>46348</v>
      </c>
      <c r="AQ79" s="55">
        <v>167</v>
      </c>
      <c r="AR79" s="56">
        <f t="shared" ca="1" si="106"/>
        <v>398.11291742336488</v>
      </c>
      <c r="AS79" s="28">
        <f t="shared" ca="1" si="87"/>
        <v>6.0777786246165073</v>
      </c>
      <c r="AT79" s="28">
        <f t="shared" si="67"/>
        <v>0.73074034260050791</v>
      </c>
      <c r="AU79" s="29">
        <f t="shared" ca="1" si="107"/>
        <v>4.4412780344023099</v>
      </c>
      <c r="AV79" s="33"/>
      <c r="AW79" s="27">
        <v>14.5</v>
      </c>
      <c r="AX79" s="30">
        <f t="shared" si="88"/>
        <v>46590</v>
      </c>
      <c r="AY79" s="26">
        <f t="shared" si="68"/>
        <v>46348</v>
      </c>
      <c r="AZ79" s="55">
        <v>167</v>
      </c>
      <c r="BA79" s="56">
        <f t="shared" ca="1" si="108"/>
        <v>581.13170487929085</v>
      </c>
      <c r="BB79" s="28">
        <f t="shared" ca="1" si="89"/>
        <v>8.8718293213437267</v>
      </c>
      <c r="BC79" s="28">
        <f t="shared" si="69"/>
        <v>0.73074034260050791</v>
      </c>
      <c r="BD79" s="29">
        <f t="shared" ca="1" si="109"/>
        <v>6.4830035977719467</v>
      </c>
      <c r="BE79" s="33"/>
      <c r="BF79" s="27">
        <v>14.5</v>
      </c>
      <c r="BG79" s="30">
        <f t="shared" si="90"/>
        <v>46590</v>
      </c>
      <c r="BH79" s="26">
        <f t="shared" si="70"/>
        <v>46348</v>
      </c>
      <c r="BI79" s="55">
        <v>167</v>
      </c>
      <c r="BJ79" s="56">
        <f t="shared" ca="1" si="110"/>
        <v>441.82069543877867</v>
      </c>
      <c r="BK79" s="28">
        <f t="shared" ca="1" si="91"/>
        <v>6.7450420750738793</v>
      </c>
      <c r="BL79" s="28">
        <f t="shared" si="71"/>
        <v>0.73074034260050791</v>
      </c>
      <c r="BM79" s="29">
        <f t="shared" ca="1" si="111"/>
        <v>4.9288743567943269</v>
      </c>
      <c r="BN79" s="33"/>
      <c r="BO79" s="27">
        <v>14.5</v>
      </c>
      <c r="BP79" s="30">
        <f t="shared" si="92"/>
        <v>46590</v>
      </c>
      <c r="BQ79" s="26">
        <f t="shared" si="72"/>
        <v>46348</v>
      </c>
      <c r="BR79" s="55">
        <v>167</v>
      </c>
      <c r="BS79" s="56">
        <f t="shared" ca="1" si="112"/>
        <v>582.43635645033203</v>
      </c>
      <c r="BT79" s="28">
        <f t="shared" ca="1" si="93"/>
        <v>8.8917467444767571</v>
      </c>
      <c r="BU79" s="28">
        <f t="shared" si="73"/>
        <v>0.73074034260050791</v>
      </c>
      <c r="BV79" s="29">
        <f t="shared" ca="1" si="113"/>
        <v>6.4975580623758962</v>
      </c>
      <c r="BW79" s="33"/>
      <c r="BX79" s="27">
        <v>14.5</v>
      </c>
      <c r="BY79" s="30">
        <f t="shared" si="94"/>
        <v>46590</v>
      </c>
      <c r="BZ79" s="26">
        <f t="shared" si="74"/>
        <v>46348</v>
      </c>
      <c r="CA79" s="55">
        <v>167</v>
      </c>
      <c r="CB79" s="56">
        <f t="shared" ca="1" si="114"/>
        <v>406.90368537844569</v>
      </c>
      <c r="CC79" s="28">
        <f t="shared" ca="1" si="95"/>
        <v>6.2119826135680549</v>
      </c>
      <c r="CD79" s="28">
        <f t="shared" si="75"/>
        <v>0.73074034260050791</v>
      </c>
      <c r="CE79" s="29">
        <f t="shared" ca="1" si="115"/>
        <v>4.5393463032671191</v>
      </c>
      <c r="CF79" s="33"/>
      <c r="CG79" s="27">
        <v>14.5</v>
      </c>
      <c r="CH79" s="30">
        <f t="shared" si="96"/>
        <v>46590</v>
      </c>
      <c r="CI79" s="26">
        <f t="shared" si="76"/>
        <v>46348</v>
      </c>
      <c r="CJ79" s="55">
        <v>167</v>
      </c>
      <c r="CK79" s="56">
        <f t="shared" ca="1" si="116"/>
        <v>235.08391739673141</v>
      </c>
      <c r="CL79" s="28">
        <f t="shared" ca="1" si="97"/>
        <v>3.5889014036325579</v>
      </c>
      <c r="CM79" s="28">
        <f t="shared" si="77"/>
        <v>0.73074034260050791</v>
      </c>
      <c r="CN79" s="29">
        <f t="shared" ca="1" si="117"/>
        <v>2.6225550412498992</v>
      </c>
      <c r="CO79" s="33"/>
      <c r="CP79" s="27">
        <v>14.5</v>
      </c>
      <c r="CQ79" s="30">
        <f t="shared" si="98"/>
        <v>46590</v>
      </c>
      <c r="CR79" s="26">
        <f t="shared" si="78"/>
        <v>46348</v>
      </c>
      <c r="CS79" s="55">
        <v>167</v>
      </c>
      <c r="CT79" s="56">
        <f t="shared" ca="1" si="118"/>
        <v>578.10731608056119</v>
      </c>
      <c r="CU79" s="28">
        <f t="shared" ca="1" si="99"/>
        <v>8.8256575826510542</v>
      </c>
      <c r="CV79" s="28">
        <f t="shared" si="79"/>
        <v>0.73074034260050791</v>
      </c>
      <c r="CW79" s="29">
        <f t="shared" ca="1" si="119"/>
        <v>6.4492640456212014</v>
      </c>
      <c r="CX79" s="33"/>
      <c r="CY79" s="33"/>
    </row>
    <row r="80" spans="1:103" ht="15.5" x14ac:dyDescent="0.35">
      <c r="A80" s="16"/>
      <c r="B80" s="16"/>
      <c r="C80" s="16"/>
      <c r="D80" s="16"/>
      <c r="E80" s="16"/>
      <c r="F80" s="16"/>
      <c r="G80" s="16"/>
      <c r="H80" s="16"/>
      <c r="I80" s="16"/>
      <c r="J80" s="16"/>
      <c r="K80" s="16"/>
      <c r="L80" s="16"/>
      <c r="M80" s="27">
        <v>15</v>
      </c>
      <c r="N80" s="30">
        <f t="shared" si="80"/>
        <v>46774</v>
      </c>
      <c r="O80" s="26">
        <f t="shared" si="60"/>
        <v>46529</v>
      </c>
      <c r="P80" s="55">
        <v>173</v>
      </c>
      <c r="Q80" s="56">
        <f t="shared" ca="1" si="100"/>
        <v>509.18294133812498</v>
      </c>
      <c r="R80" s="28">
        <f t="shared" ca="1" si="81"/>
        <v>7.7734257328636778</v>
      </c>
      <c r="S80" s="28">
        <f t="shared" si="61"/>
        <v>0.72287841965972655</v>
      </c>
      <c r="T80" s="29">
        <f t="shared" ca="1" si="101"/>
        <v>5.6192417091147471</v>
      </c>
      <c r="U80" s="16"/>
      <c r="V80" s="27">
        <v>15</v>
      </c>
      <c r="W80" s="30">
        <f t="shared" si="82"/>
        <v>46774</v>
      </c>
      <c r="X80" s="26">
        <f t="shared" si="62"/>
        <v>46529</v>
      </c>
      <c r="Y80" s="55">
        <v>173</v>
      </c>
      <c r="Z80" s="56">
        <f t="shared" ca="1" si="102"/>
        <v>444.42286932641844</v>
      </c>
      <c r="AA80" s="28">
        <f t="shared" ca="1" si="83"/>
        <v>6.7847680827959884</v>
      </c>
      <c r="AB80" s="28">
        <f t="shared" si="63"/>
        <v>0.72287841965972655</v>
      </c>
      <c r="AC80" s="29">
        <f t="shared" ca="1" si="103"/>
        <v>4.9045624294493164</v>
      </c>
      <c r="AD80" s="16"/>
      <c r="AE80" s="27">
        <v>15</v>
      </c>
      <c r="AF80" s="30">
        <f t="shared" si="84"/>
        <v>46774</v>
      </c>
      <c r="AG80" s="26">
        <f t="shared" si="64"/>
        <v>46529</v>
      </c>
      <c r="AH80" s="55">
        <v>173</v>
      </c>
      <c r="AI80" s="56">
        <f t="shared" ca="1" si="104"/>
        <v>509.05158174462377</v>
      </c>
      <c r="AJ80" s="28">
        <f t="shared" ca="1" si="85"/>
        <v>7.771420335664593</v>
      </c>
      <c r="AK80" s="28">
        <f t="shared" si="65"/>
        <v>0.72287841965972655</v>
      </c>
      <c r="AL80" s="29">
        <f t="shared" ca="1" si="105"/>
        <v>5.617792050756683</v>
      </c>
      <c r="AM80" s="33"/>
      <c r="AN80" s="27">
        <v>15</v>
      </c>
      <c r="AO80" s="30">
        <f t="shared" si="86"/>
        <v>46774</v>
      </c>
      <c r="AP80" s="26">
        <f t="shared" si="66"/>
        <v>46529</v>
      </c>
      <c r="AQ80" s="55">
        <v>173</v>
      </c>
      <c r="AR80" s="56">
        <f t="shared" ca="1" si="106"/>
        <v>405.0113066677838</v>
      </c>
      <c r="AS80" s="28">
        <f t="shared" ca="1" si="87"/>
        <v>6.1830926721117994</v>
      </c>
      <c r="AT80" s="28">
        <f t="shared" si="67"/>
        <v>0.72287841965972655</v>
      </c>
      <c r="AU80" s="29">
        <f t="shared" ca="1" si="107"/>
        <v>4.4696242594258129</v>
      </c>
      <c r="AV80" s="33"/>
      <c r="AW80" s="27">
        <v>15</v>
      </c>
      <c r="AX80" s="30">
        <f t="shared" si="88"/>
        <v>46774</v>
      </c>
      <c r="AY80" s="26">
        <f t="shared" si="68"/>
        <v>46529</v>
      </c>
      <c r="AZ80" s="55">
        <v>173</v>
      </c>
      <c r="BA80" s="56">
        <f t="shared" ca="1" si="108"/>
        <v>599.29037597844388</v>
      </c>
      <c r="BB80" s="28">
        <f t="shared" ca="1" si="89"/>
        <v>9.1490481158811292</v>
      </c>
      <c r="BC80" s="28">
        <f t="shared" si="69"/>
        <v>0.72287841965972655</v>
      </c>
      <c r="BD80" s="29">
        <f t="shared" ca="1" si="109"/>
        <v>6.6136494433989492</v>
      </c>
      <c r="BE80" s="33"/>
      <c r="BF80" s="27">
        <v>15</v>
      </c>
      <c r="BG80" s="30">
        <f t="shared" si="90"/>
        <v>46774</v>
      </c>
      <c r="BH80" s="26">
        <f t="shared" si="70"/>
        <v>46529</v>
      </c>
      <c r="BI80" s="55">
        <v>173</v>
      </c>
      <c r="BJ80" s="56">
        <f t="shared" ca="1" si="110"/>
        <v>451.16179385509042</v>
      </c>
      <c r="BK80" s="28">
        <f t="shared" ca="1" si="91"/>
        <v>6.8876476671067657</v>
      </c>
      <c r="BL80" s="28">
        <f t="shared" si="71"/>
        <v>0.72287841965972655</v>
      </c>
      <c r="BM80" s="29">
        <f t="shared" ca="1" si="111"/>
        <v>4.9789318607711408</v>
      </c>
      <c r="BN80" s="33"/>
      <c r="BO80" s="27">
        <v>15</v>
      </c>
      <c r="BP80" s="30">
        <f t="shared" si="92"/>
        <v>46774</v>
      </c>
      <c r="BQ80" s="26">
        <f t="shared" si="72"/>
        <v>46529</v>
      </c>
      <c r="BR80" s="55">
        <v>173</v>
      </c>
      <c r="BS80" s="56">
        <f t="shared" ca="1" si="112"/>
        <v>600.68418865159663</v>
      </c>
      <c r="BT80" s="28">
        <f t="shared" ca="1" si="93"/>
        <v>9.1703267142406961</v>
      </c>
      <c r="BU80" s="28">
        <f t="shared" si="73"/>
        <v>0.72287841965972655</v>
      </c>
      <c r="BV80" s="29">
        <f t="shared" ca="1" si="113"/>
        <v>6.6290312829536875</v>
      </c>
      <c r="BW80" s="33"/>
      <c r="BX80" s="27">
        <v>15</v>
      </c>
      <c r="BY80" s="30">
        <f t="shared" si="94"/>
        <v>46774</v>
      </c>
      <c r="BZ80" s="26">
        <f t="shared" si="74"/>
        <v>46529</v>
      </c>
      <c r="CA80" s="55">
        <v>173</v>
      </c>
      <c r="CB80" s="56">
        <f t="shared" ca="1" si="114"/>
        <v>414.27935636042366</v>
      </c>
      <c r="CC80" s="28">
        <f t="shared" ca="1" si="95"/>
        <v>6.3245830680486597</v>
      </c>
      <c r="CD80" s="28">
        <f t="shared" si="75"/>
        <v>0.72287841965972655</v>
      </c>
      <c r="CE80" s="29">
        <f t="shared" ca="1" si="115"/>
        <v>4.5719046132376802</v>
      </c>
      <c r="CF80" s="33"/>
      <c r="CG80" s="27">
        <v>15</v>
      </c>
      <c r="CH80" s="30">
        <f t="shared" si="96"/>
        <v>46774</v>
      </c>
      <c r="CI80" s="26">
        <f t="shared" si="76"/>
        <v>46529</v>
      </c>
      <c r="CJ80" s="55">
        <v>173</v>
      </c>
      <c r="CK80" s="56">
        <f t="shared" ca="1" si="116"/>
        <v>234.67349231170903</v>
      </c>
      <c r="CL80" s="28">
        <f t="shared" ca="1" si="97"/>
        <v>3.5826356616794959</v>
      </c>
      <c r="CM80" s="28">
        <f t="shared" si="77"/>
        <v>0.72287841965972655</v>
      </c>
      <c r="CN80" s="29">
        <f t="shared" ca="1" si="117"/>
        <v>2.5898100053314526</v>
      </c>
      <c r="CO80" s="33"/>
      <c r="CP80" s="27">
        <v>15</v>
      </c>
      <c r="CQ80" s="30">
        <f t="shared" si="98"/>
        <v>46774</v>
      </c>
      <c r="CR80" s="26">
        <f t="shared" si="78"/>
        <v>46529</v>
      </c>
      <c r="CS80" s="55">
        <v>173</v>
      </c>
      <c r="CT80" s="56">
        <f t="shared" ca="1" si="118"/>
        <v>596.05973041442576</v>
      </c>
      <c r="CU80" s="28">
        <f t="shared" ca="1" si="99"/>
        <v>9.0997275646169733</v>
      </c>
      <c r="CV80" s="28">
        <f t="shared" si="79"/>
        <v>0.72287841965972655</v>
      </c>
      <c r="CW80" s="29">
        <f t="shared" ca="1" si="119"/>
        <v>6.57799668124437</v>
      </c>
      <c r="CX80" s="33"/>
      <c r="CY80" s="33"/>
    </row>
    <row r="81" spans="1:103" ht="15.5" x14ac:dyDescent="0.35">
      <c r="A81" s="16"/>
      <c r="B81" s="16"/>
      <c r="C81" s="16"/>
      <c r="D81" s="16"/>
      <c r="E81" s="16"/>
      <c r="F81" s="16"/>
      <c r="G81" s="16"/>
      <c r="H81" s="16"/>
      <c r="I81" s="16"/>
      <c r="J81" s="16"/>
      <c r="K81" s="16"/>
      <c r="L81" s="16"/>
      <c r="M81" s="27">
        <v>15.5</v>
      </c>
      <c r="N81" s="30">
        <f t="shared" si="80"/>
        <v>46956</v>
      </c>
      <c r="O81" s="26">
        <f t="shared" si="60"/>
        <v>46713</v>
      </c>
      <c r="P81" s="55">
        <v>179</v>
      </c>
      <c r="Q81" s="56">
        <f t="shared" ca="1" si="100"/>
        <v>522.13445771274439</v>
      </c>
      <c r="R81" s="28">
        <f t="shared" ca="1" si="81"/>
        <v>7.9711496597522977</v>
      </c>
      <c r="S81" s="28">
        <f t="shared" si="61"/>
        <v>0.71510108193851252</v>
      </c>
      <c r="T81" s="29">
        <f t="shared" ca="1" si="101"/>
        <v>5.7001777459826739</v>
      </c>
      <c r="U81" s="16"/>
      <c r="V81" s="27">
        <v>15.5</v>
      </c>
      <c r="W81" s="30">
        <f t="shared" si="82"/>
        <v>46956</v>
      </c>
      <c r="X81" s="26">
        <f t="shared" si="62"/>
        <v>46713</v>
      </c>
      <c r="Y81" s="55">
        <v>179</v>
      </c>
      <c r="Z81" s="56">
        <f t="shared" ca="1" si="102"/>
        <v>453.58217551065133</v>
      </c>
      <c r="AA81" s="28">
        <f t="shared" ca="1" si="83"/>
        <v>6.9245983493021352</v>
      </c>
      <c r="AB81" s="28">
        <f t="shared" si="63"/>
        <v>0.71510108193851252</v>
      </c>
      <c r="AC81" s="29">
        <f t="shared" ca="1" si="103"/>
        <v>4.9517877715755949</v>
      </c>
      <c r="AD81" s="16"/>
      <c r="AE81" s="27">
        <v>15.5</v>
      </c>
      <c r="AF81" s="30">
        <f t="shared" si="84"/>
        <v>46956</v>
      </c>
      <c r="AG81" s="26">
        <f t="shared" si="64"/>
        <v>46713</v>
      </c>
      <c r="AH81" s="55">
        <v>179</v>
      </c>
      <c r="AI81" s="56">
        <f t="shared" ca="1" si="104"/>
        <v>521.99508579044902</v>
      </c>
      <c r="AJ81" s="28">
        <f t="shared" ca="1" si="85"/>
        <v>7.969021942581799</v>
      </c>
      <c r="AK81" s="28">
        <f t="shared" si="65"/>
        <v>0.71510108193851252</v>
      </c>
      <c r="AL81" s="29">
        <f t="shared" ca="1" si="105"/>
        <v>5.6986562131319909</v>
      </c>
      <c r="AM81" s="33"/>
      <c r="AN81" s="27">
        <v>15.5</v>
      </c>
      <c r="AO81" s="30">
        <f t="shared" si="86"/>
        <v>46956</v>
      </c>
      <c r="AP81" s="26">
        <f t="shared" si="66"/>
        <v>46713</v>
      </c>
      <c r="AQ81" s="55">
        <v>179</v>
      </c>
      <c r="AR81" s="56">
        <f t="shared" ca="1" si="106"/>
        <v>412.02922927091794</v>
      </c>
      <c r="AS81" s="28">
        <f t="shared" ca="1" si="87"/>
        <v>6.2902315719560944</v>
      </c>
      <c r="AT81" s="28">
        <f t="shared" si="67"/>
        <v>0.71510108193851252</v>
      </c>
      <c r="AU81" s="29">
        <f t="shared" ca="1" si="107"/>
        <v>4.4981514027495937</v>
      </c>
      <c r="AV81" s="33"/>
      <c r="AW81" s="27">
        <v>15.5</v>
      </c>
      <c r="AX81" s="30">
        <f t="shared" si="88"/>
        <v>46956</v>
      </c>
      <c r="AY81" s="26">
        <f t="shared" si="68"/>
        <v>46713</v>
      </c>
      <c r="AZ81" s="55">
        <v>179</v>
      </c>
      <c r="BA81" s="56">
        <f t="shared" ca="1" si="108"/>
        <v>618.01645259568966</v>
      </c>
      <c r="BB81" s="28">
        <f t="shared" ca="1" si="89"/>
        <v>9.4349291893309406</v>
      </c>
      <c r="BC81" s="28">
        <f t="shared" si="69"/>
        <v>0.71510108193851252</v>
      </c>
      <c r="BD81" s="29">
        <f t="shared" ca="1" si="109"/>
        <v>6.7469280713038087</v>
      </c>
      <c r="BE81" s="33"/>
      <c r="BF81" s="27">
        <v>15.5</v>
      </c>
      <c r="BG81" s="30">
        <f t="shared" si="90"/>
        <v>46956</v>
      </c>
      <c r="BH81" s="26">
        <f t="shared" si="70"/>
        <v>46713</v>
      </c>
      <c r="BI81" s="55">
        <v>179</v>
      </c>
      <c r="BJ81" s="56">
        <f t="shared" ca="1" si="110"/>
        <v>460.70038442268446</v>
      </c>
      <c r="BK81" s="28">
        <f t="shared" ca="1" si="91"/>
        <v>7.0332682670006417</v>
      </c>
      <c r="BL81" s="28">
        <f t="shared" si="71"/>
        <v>0.71510108193851252</v>
      </c>
      <c r="BM81" s="29">
        <f t="shared" ca="1" si="111"/>
        <v>5.0294977472959657</v>
      </c>
      <c r="BN81" s="33"/>
      <c r="BO81" s="27">
        <v>15.5</v>
      </c>
      <c r="BP81" s="30">
        <f t="shared" si="92"/>
        <v>46956</v>
      </c>
      <c r="BQ81" s="26">
        <f t="shared" si="72"/>
        <v>46713</v>
      </c>
      <c r="BR81" s="55">
        <v>179</v>
      </c>
      <c r="BS81" s="56">
        <f t="shared" ca="1" si="112"/>
        <v>619.50372860488915</v>
      </c>
      <c r="BT81" s="28">
        <f t="shared" ca="1" si="93"/>
        <v>9.4576346428392597</v>
      </c>
      <c r="BU81" s="28">
        <f t="shared" si="73"/>
        <v>0.71510108193851252</v>
      </c>
      <c r="BV81" s="29">
        <f t="shared" ca="1" si="113"/>
        <v>6.7631647656735119</v>
      </c>
      <c r="BW81" s="33"/>
      <c r="BX81" s="27">
        <v>15.5</v>
      </c>
      <c r="BY81" s="30">
        <f t="shared" si="94"/>
        <v>46956</v>
      </c>
      <c r="BZ81" s="26">
        <f t="shared" si="74"/>
        <v>46713</v>
      </c>
      <c r="CA81" s="55">
        <v>179</v>
      </c>
      <c r="CB81" s="56">
        <f t="shared" ca="1" si="114"/>
        <v>421.78872119770244</v>
      </c>
      <c r="CC81" s="28">
        <f t="shared" ca="1" si="95"/>
        <v>6.4392245556644072</v>
      </c>
      <c r="CD81" s="28">
        <f t="shared" si="75"/>
        <v>0.71510108193851252</v>
      </c>
      <c r="CE81" s="29">
        <f t="shared" ca="1" si="115"/>
        <v>4.6046964466006548</v>
      </c>
      <c r="CF81" s="33"/>
      <c r="CG81" s="27">
        <v>15.5</v>
      </c>
      <c r="CH81" s="30">
        <f t="shared" si="96"/>
        <v>46956</v>
      </c>
      <c r="CI81" s="26">
        <f t="shared" si="76"/>
        <v>46713</v>
      </c>
      <c r="CJ81" s="55">
        <v>179</v>
      </c>
      <c r="CK81" s="56">
        <f t="shared" ca="1" si="116"/>
        <v>234.26378377400425</v>
      </c>
      <c r="CL81" s="28">
        <f t="shared" ca="1" si="97"/>
        <v>3.5763808588740473</v>
      </c>
      <c r="CM81" s="28">
        <f t="shared" si="77"/>
        <v>0.71510108193851252</v>
      </c>
      <c r="CN81" s="29">
        <f t="shared" ca="1" si="117"/>
        <v>2.5574738216050177</v>
      </c>
      <c r="CO81" s="33"/>
      <c r="CP81" s="27">
        <v>15.5</v>
      </c>
      <c r="CQ81" s="30">
        <f t="shared" si="98"/>
        <v>46956</v>
      </c>
      <c r="CR81" s="26">
        <f t="shared" si="78"/>
        <v>46713</v>
      </c>
      <c r="CS81" s="55">
        <v>179</v>
      </c>
      <c r="CT81" s="56">
        <f t="shared" ca="1" si="118"/>
        <v>614.56963497795891</v>
      </c>
      <c r="CU81" s="28">
        <f t="shared" ca="1" si="99"/>
        <v>9.3823084540491504</v>
      </c>
      <c r="CV81" s="28">
        <f t="shared" si="79"/>
        <v>0.71510108193851252</v>
      </c>
      <c r="CW81" s="29">
        <f t="shared" ca="1" si="119"/>
        <v>6.7092989265714005</v>
      </c>
      <c r="CX81" s="33"/>
      <c r="CY81" s="33"/>
    </row>
    <row r="82" spans="1:103" ht="15.5" x14ac:dyDescent="0.35">
      <c r="A82" s="16"/>
      <c r="B82" s="16"/>
      <c r="C82" s="16"/>
      <c r="D82" s="16"/>
      <c r="E82" s="16"/>
      <c r="F82" s="16"/>
      <c r="G82" s="16"/>
      <c r="H82" s="16"/>
      <c r="I82" s="16"/>
      <c r="J82" s="16"/>
      <c r="K82" s="16"/>
      <c r="L82" s="16"/>
      <c r="M82" s="27">
        <v>16</v>
      </c>
      <c r="N82" s="30">
        <f t="shared" si="80"/>
        <v>47140</v>
      </c>
      <c r="O82" s="26">
        <f t="shared" si="60"/>
        <v>46895</v>
      </c>
      <c r="P82" s="55">
        <v>185</v>
      </c>
      <c r="Q82" s="56">
        <f t="shared" ca="1" si="100"/>
        <v>535.41540730828274</v>
      </c>
      <c r="R82" s="28">
        <f t="shared" ca="1" si="81"/>
        <v>8.1739028687885504</v>
      </c>
      <c r="S82" s="28">
        <f t="shared" si="61"/>
        <v>0.70740741939750318</v>
      </c>
      <c r="T82" s="29">
        <f t="shared" ca="1" si="101"/>
        <v>5.7822795348155562</v>
      </c>
      <c r="U82" s="16"/>
      <c r="V82" s="27">
        <v>16</v>
      </c>
      <c r="W82" s="30">
        <f t="shared" si="82"/>
        <v>47140</v>
      </c>
      <c r="X82" s="26">
        <f t="shared" si="62"/>
        <v>46895</v>
      </c>
      <c r="Y82" s="55">
        <v>185</v>
      </c>
      <c r="Z82" s="56">
        <f t="shared" ca="1" si="102"/>
        <v>462.93024986044605</v>
      </c>
      <c r="AA82" s="28">
        <f t="shared" ca="1" si="83"/>
        <v>7.0673104392092529</v>
      </c>
      <c r="AB82" s="28">
        <f t="shared" si="63"/>
        <v>0.70740741939750318</v>
      </c>
      <c r="AC82" s="29">
        <f t="shared" ca="1" si="103"/>
        <v>4.999467839882052</v>
      </c>
      <c r="AD82" s="16"/>
      <c r="AE82" s="27">
        <v>16</v>
      </c>
      <c r="AF82" s="30">
        <f t="shared" si="84"/>
        <v>47140</v>
      </c>
      <c r="AG82" s="26">
        <f t="shared" si="64"/>
        <v>46895</v>
      </c>
      <c r="AH82" s="55">
        <v>185</v>
      </c>
      <c r="AI82" s="56">
        <f t="shared" ca="1" si="104"/>
        <v>535.26770048633887</v>
      </c>
      <c r="AJ82" s="28">
        <f t="shared" ca="1" si="85"/>
        <v>8.1716479071286017</v>
      </c>
      <c r="AK82" s="28">
        <f t="shared" si="65"/>
        <v>0.70740741939750318</v>
      </c>
      <c r="AL82" s="29">
        <f t="shared" ca="1" si="105"/>
        <v>5.7806843582068517</v>
      </c>
      <c r="AM82" s="33"/>
      <c r="AN82" s="27">
        <v>16</v>
      </c>
      <c r="AO82" s="30">
        <f t="shared" si="86"/>
        <v>47140</v>
      </c>
      <c r="AP82" s="26">
        <f t="shared" si="66"/>
        <v>46895</v>
      </c>
      <c r="AQ82" s="55">
        <v>185</v>
      </c>
      <c r="AR82" s="56">
        <f t="shared" ca="1" si="106"/>
        <v>419.16875647336263</v>
      </c>
      <c r="AS82" s="28">
        <f t="shared" ca="1" si="87"/>
        <v>6.3992269446803141</v>
      </c>
      <c r="AT82" s="28">
        <f t="shared" si="67"/>
        <v>0.70740741939750318</v>
      </c>
      <c r="AU82" s="29">
        <f t="shared" ca="1" si="107"/>
        <v>4.5268606190752694</v>
      </c>
      <c r="AV82" s="33"/>
      <c r="AW82" s="27">
        <v>16</v>
      </c>
      <c r="AX82" s="30">
        <f t="shared" si="88"/>
        <v>47140</v>
      </c>
      <c r="AY82" s="26">
        <f t="shared" si="68"/>
        <v>46895</v>
      </c>
      <c r="AZ82" s="55">
        <v>185</v>
      </c>
      <c r="BA82" s="56">
        <f t="shared" ca="1" si="108"/>
        <v>637.32766449881842</v>
      </c>
      <c r="BB82" s="28">
        <f t="shared" ca="1" si="89"/>
        <v>9.7297432126485059</v>
      </c>
      <c r="BC82" s="28">
        <f t="shared" si="69"/>
        <v>0.70740741939750318</v>
      </c>
      <c r="BD82" s="29">
        <f t="shared" ca="1" si="109"/>
        <v>6.8828925374600516</v>
      </c>
      <c r="BE82" s="33"/>
      <c r="BF82" s="27">
        <v>16</v>
      </c>
      <c r="BG82" s="30">
        <f t="shared" si="90"/>
        <v>47140</v>
      </c>
      <c r="BH82" s="26">
        <f t="shared" si="70"/>
        <v>46895</v>
      </c>
      <c r="BI82" s="55">
        <v>185</v>
      </c>
      <c r="BJ82" s="56">
        <f t="shared" ca="1" si="110"/>
        <v>470.44064257661989</v>
      </c>
      <c r="BK82" s="28">
        <f t="shared" ca="1" si="91"/>
        <v>7.1819676189065769</v>
      </c>
      <c r="BL82" s="28">
        <f t="shared" si="71"/>
        <v>0.70740741939750318</v>
      </c>
      <c r="BM82" s="29">
        <f t="shared" ca="1" si="111"/>
        <v>5.0805771794871317</v>
      </c>
      <c r="BN82" s="33"/>
      <c r="BO82" s="27">
        <v>16</v>
      </c>
      <c r="BP82" s="30">
        <f t="shared" si="92"/>
        <v>47140</v>
      </c>
      <c r="BQ82" s="26">
        <f t="shared" si="72"/>
        <v>46895</v>
      </c>
      <c r="BR82" s="55">
        <v>185</v>
      </c>
      <c r="BS82" s="56">
        <f t="shared" ca="1" si="112"/>
        <v>638.91288801337089</v>
      </c>
      <c r="BT82" s="28">
        <f t="shared" ca="1" si="93"/>
        <v>9.7539439787385458</v>
      </c>
      <c r="BU82" s="28">
        <f t="shared" si="73"/>
        <v>0.70740741939750318</v>
      </c>
      <c r="BV82" s="29">
        <f t="shared" ca="1" si="113"/>
        <v>6.9000123389472492</v>
      </c>
      <c r="BW82" s="33"/>
      <c r="BX82" s="27">
        <v>16</v>
      </c>
      <c r="BY82" s="30">
        <f t="shared" si="94"/>
        <v>47140</v>
      </c>
      <c r="BZ82" s="26">
        <f t="shared" si="74"/>
        <v>46895</v>
      </c>
      <c r="CA82" s="55">
        <v>185</v>
      </c>
      <c r="CB82" s="56">
        <f t="shared" ca="1" si="114"/>
        <v>429.43420326938752</v>
      </c>
      <c r="CC82" s="28">
        <f t="shared" ca="1" si="95"/>
        <v>6.5559440728579705</v>
      </c>
      <c r="CD82" s="28">
        <f t="shared" si="75"/>
        <v>0.70740741939750318</v>
      </c>
      <c r="CE82" s="29">
        <f t="shared" ca="1" si="115"/>
        <v>4.6377234782948138</v>
      </c>
      <c r="CF82" s="33"/>
      <c r="CG82" s="27">
        <v>16</v>
      </c>
      <c r="CH82" s="30">
        <f t="shared" si="96"/>
        <v>47140</v>
      </c>
      <c r="CI82" s="26">
        <f t="shared" si="76"/>
        <v>46895</v>
      </c>
      <c r="CJ82" s="55">
        <v>185</v>
      </c>
      <c r="CK82" s="56">
        <f t="shared" ca="1" si="116"/>
        <v>233.85479053262122</v>
      </c>
      <c r="CL82" s="28">
        <f t="shared" ca="1" si="97"/>
        <v>3.5701369761179222</v>
      </c>
      <c r="CM82" s="28">
        <f t="shared" si="77"/>
        <v>0.70740741939750318</v>
      </c>
      <c r="CN82" s="29">
        <f t="shared" ca="1" si="117"/>
        <v>2.5255413851711848</v>
      </c>
      <c r="CO82" s="33"/>
      <c r="CP82" s="27">
        <v>16</v>
      </c>
      <c r="CQ82" s="30">
        <f t="shared" si="98"/>
        <v>47140</v>
      </c>
      <c r="CR82" s="26">
        <f t="shared" si="78"/>
        <v>46895</v>
      </c>
      <c r="CS82" s="55">
        <v>185</v>
      </c>
      <c r="CT82" s="56">
        <f t="shared" ca="1" si="118"/>
        <v>633.65434194713839</v>
      </c>
      <c r="CU82" s="28">
        <f t="shared" ca="1" si="99"/>
        <v>9.6736645467503557</v>
      </c>
      <c r="CV82" s="28">
        <f t="shared" si="79"/>
        <v>0.70740741939750318</v>
      </c>
      <c r="CW82" s="29">
        <f t="shared" ca="1" si="119"/>
        <v>6.8432220731337861</v>
      </c>
      <c r="CX82" s="33"/>
      <c r="CY82" s="33"/>
    </row>
    <row r="83" spans="1:103" ht="15.5" x14ac:dyDescent="0.35">
      <c r="A83" s="16"/>
      <c r="B83" s="16"/>
      <c r="C83" s="16"/>
      <c r="D83" s="16"/>
      <c r="E83" s="16"/>
      <c r="F83" s="16"/>
      <c r="G83" s="16"/>
      <c r="H83" s="16"/>
      <c r="I83" s="16"/>
      <c r="J83" s="16"/>
      <c r="K83" s="16"/>
      <c r="L83" s="16"/>
      <c r="M83" s="27">
        <v>16.5</v>
      </c>
      <c r="N83" s="30">
        <f t="shared" si="80"/>
        <v>47321</v>
      </c>
      <c r="O83" s="26">
        <f t="shared" si="60"/>
        <v>47079</v>
      </c>
      <c r="P83" s="55">
        <v>191</v>
      </c>
      <c r="Q83" s="56">
        <f t="shared" ca="1" si="100"/>
        <v>549.03416954873228</v>
      </c>
      <c r="R83" s="28">
        <f t="shared" ca="1" si="81"/>
        <v>8.3818132841914164</v>
      </c>
      <c r="S83" s="28">
        <f t="shared" si="61"/>
        <v>0.69979653178830237</v>
      </c>
      <c r="T83" s="29">
        <f t="shared" ca="1" si="101"/>
        <v>5.8655638663742735</v>
      </c>
      <c r="U83" s="16"/>
      <c r="V83" s="27">
        <v>16.5</v>
      </c>
      <c r="W83" s="30">
        <f t="shared" si="82"/>
        <v>47321</v>
      </c>
      <c r="X83" s="26">
        <f t="shared" si="62"/>
        <v>47079</v>
      </c>
      <c r="Y83" s="55">
        <v>191</v>
      </c>
      <c r="Z83" s="56">
        <f t="shared" ca="1" si="102"/>
        <v>472.47098278186775</v>
      </c>
      <c r="AA83" s="28">
        <f t="shared" ca="1" si="83"/>
        <v>7.2129637452820301</v>
      </c>
      <c r="AB83" s="28">
        <f t="shared" si="63"/>
        <v>0.69979653178830237</v>
      </c>
      <c r="AC83" s="29">
        <f t="shared" ca="1" si="103"/>
        <v>5.0476070128631285</v>
      </c>
      <c r="AD83" s="16"/>
      <c r="AE83" s="27">
        <v>16.5</v>
      </c>
      <c r="AF83" s="30">
        <f t="shared" si="84"/>
        <v>47321</v>
      </c>
      <c r="AG83" s="26">
        <f t="shared" si="64"/>
        <v>47079</v>
      </c>
      <c r="AH83" s="55">
        <v>191</v>
      </c>
      <c r="AI83" s="56">
        <f t="shared" ca="1" si="104"/>
        <v>548.87779403147647</v>
      </c>
      <c r="AJ83" s="28">
        <f t="shared" ca="1" si="85"/>
        <v>8.3794259821607717</v>
      </c>
      <c r="AK83" s="28">
        <f t="shared" si="65"/>
        <v>0.69979653178830237</v>
      </c>
      <c r="AL83" s="29">
        <f t="shared" ca="1" si="105"/>
        <v>5.8638932406928976</v>
      </c>
      <c r="AM83" s="33"/>
      <c r="AN83" s="27">
        <v>16.5</v>
      </c>
      <c r="AO83" s="30">
        <f t="shared" si="86"/>
        <v>47321</v>
      </c>
      <c r="AP83" s="26">
        <f t="shared" si="66"/>
        <v>47079</v>
      </c>
      <c r="AQ83" s="55">
        <v>191</v>
      </c>
      <c r="AR83" s="56">
        <f t="shared" ca="1" si="106"/>
        <v>426.43199540559078</v>
      </c>
      <c r="AS83" s="28">
        <f t="shared" ca="1" si="87"/>
        <v>6.5101109587270987</v>
      </c>
      <c r="AT83" s="28">
        <f t="shared" si="67"/>
        <v>0.69979653178830237</v>
      </c>
      <c r="AU83" s="29">
        <f t="shared" ca="1" si="107"/>
        <v>4.5557530704742435</v>
      </c>
      <c r="AV83" s="33"/>
      <c r="AW83" s="27">
        <v>16.5</v>
      </c>
      <c r="AX83" s="30">
        <f t="shared" si="88"/>
        <v>47321</v>
      </c>
      <c r="AY83" s="26">
        <f t="shared" si="68"/>
        <v>47079</v>
      </c>
      <c r="AZ83" s="55">
        <v>191</v>
      </c>
      <c r="BA83" s="56">
        <f t="shared" ca="1" si="108"/>
        <v>657.24229545916035</v>
      </c>
      <c r="BB83" s="28">
        <f t="shared" ca="1" si="89"/>
        <v>10.033769314467197</v>
      </c>
      <c r="BC83" s="28">
        <f t="shared" si="69"/>
        <v>0.69979653178830237</v>
      </c>
      <c r="BD83" s="29">
        <f t="shared" ca="1" si="109"/>
        <v>7.021596967028036</v>
      </c>
      <c r="BE83" s="33"/>
      <c r="BF83" s="27">
        <v>16.5</v>
      </c>
      <c r="BG83" s="30">
        <f t="shared" si="90"/>
        <v>47321</v>
      </c>
      <c r="BH83" s="26">
        <f t="shared" si="70"/>
        <v>47079</v>
      </c>
      <c r="BI83" s="55">
        <v>191</v>
      </c>
      <c r="BJ83" s="56">
        <f t="shared" ca="1" si="110"/>
        <v>480.38683203018769</v>
      </c>
      <c r="BK83" s="28">
        <f t="shared" ca="1" si="91"/>
        <v>7.3338108146725549</v>
      </c>
      <c r="BL83" s="28">
        <f t="shared" si="71"/>
        <v>0.69979653178830237</v>
      </c>
      <c r="BM83" s="29">
        <f t="shared" ca="1" si="111"/>
        <v>5.1321753728993986</v>
      </c>
      <c r="BN83" s="33"/>
      <c r="BO83" s="27">
        <v>16.5</v>
      </c>
      <c r="BP83" s="30">
        <f t="shared" si="92"/>
        <v>47321</v>
      </c>
      <c r="BQ83" s="26">
        <f t="shared" si="72"/>
        <v>47079</v>
      </c>
      <c r="BR83" s="55">
        <v>191</v>
      </c>
      <c r="BS83" s="56">
        <f t="shared" ca="1" si="112"/>
        <v>658.9301397569742</v>
      </c>
      <c r="BT83" s="28">
        <f t="shared" ca="1" si="93"/>
        <v>10.059536737592593</v>
      </c>
      <c r="BU83" s="28">
        <f t="shared" si="73"/>
        <v>0.69979653178830237</v>
      </c>
      <c r="BV83" s="29">
        <f t="shared" ca="1" si="113"/>
        <v>7.0396289203643105</v>
      </c>
      <c r="BW83" s="33"/>
      <c r="BX83" s="27">
        <v>16.5</v>
      </c>
      <c r="BY83" s="30">
        <f t="shared" si="94"/>
        <v>47321</v>
      </c>
      <c r="BZ83" s="26">
        <f t="shared" si="74"/>
        <v>47079</v>
      </c>
      <c r="CA83" s="55">
        <v>191</v>
      </c>
      <c r="CB83" s="56">
        <f t="shared" ca="1" si="114"/>
        <v>437.21826988155641</v>
      </c>
      <c r="CC83" s="28">
        <f t="shared" ca="1" si="95"/>
        <v>6.6747792866817921</v>
      </c>
      <c r="CD83" s="28">
        <f t="shared" si="75"/>
        <v>0.69979653178830237</v>
      </c>
      <c r="CE83" s="29">
        <f t="shared" ca="1" si="115"/>
        <v>4.6709873952723173</v>
      </c>
      <c r="CF83" s="33"/>
      <c r="CG83" s="27">
        <v>16.5</v>
      </c>
      <c r="CH83" s="30">
        <f t="shared" si="96"/>
        <v>47321</v>
      </c>
      <c r="CI83" s="26">
        <f t="shared" si="76"/>
        <v>47079</v>
      </c>
      <c r="CJ83" s="55">
        <v>191</v>
      </c>
      <c r="CK83" s="56">
        <f t="shared" ca="1" si="116"/>
        <v>233.44651133874822</v>
      </c>
      <c r="CL83" s="28">
        <f t="shared" ca="1" si="97"/>
        <v>3.563903994346175</v>
      </c>
      <c r="CM83" s="28">
        <f t="shared" si="77"/>
        <v>0.69979653178830237</v>
      </c>
      <c r="CN83" s="29">
        <f t="shared" ca="1" si="117"/>
        <v>2.494007654869931</v>
      </c>
      <c r="CO83" s="33"/>
      <c r="CP83" s="27">
        <v>16.5</v>
      </c>
      <c r="CQ83" s="30">
        <f t="shared" si="98"/>
        <v>47321</v>
      </c>
      <c r="CR83" s="26">
        <f t="shared" si="78"/>
        <v>47079</v>
      </c>
      <c r="CS83" s="55">
        <v>191</v>
      </c>
      <c r="CT83" s="56">
        <f t="shared" ca="1" si="118"/>
        <v>653.33170110635388</v>
      </c>
      <c r="CU83" s="28">
        <f t="shared" ca="1" si="99"/>
        <v>9.9740683459056623</v>
      </c>
      <c r="CV83" s="28">
        <f t="shared" si="79"/>
        <v>0.69979653178830237</v>
      </c>
      <c r="CW83" s="29">
        <f t="shared" ca="1" si="119"/>
        <v>6.9798184362842726</v>
      </c>
      <c r="CX83" s="33"/>
      <c r="CY83" s="33"/>
    </row>
    <row r="84" spans="1:103" ht="15.5" x14ac:dyDescent="0.35">
      <c r="A84" s="16"/>
      <c r="B84" s="16"/>
      <c r="C84" s="16"/>
      <c r="D84" s="16"/>
      <c r="E84" s="16"/>
      <c r="F84" s="16"/>
      <c r="G84" s="16"/>
      <c r="H84" s="16"/>
      <c r="I84" s="16"/>
      <c r="J84" s="16"/>
      <c r="K84" s="16"/>
      <c r="L84" s="16"/>
      <c r="M84" s="27">
        <v>17</v>
      </c>
      <c r="N84" s="30">
        <f t="shared" si="80"/>
        <v>47505</v>
      </c>
      <c r="O84" s="26">
        <f t="shared" si="60"/>
        <v>47260</v>
      </c>
      <c r="P84" s="55">
        <v>197</v>
      </c>
      <c r="Q84" s="56">
        <f t="shared" ca="1" si="100"/>
        <v>562.99933699611154</v>
      </c>
      <c r="R84" s="28">
        <f t="shared" ca="1" si="81"/>
        <v>8.5950120840450044</v>
      </c>
      <c r="S84" s="28">
        <f t="shared" si="61"/>
        <v>0.6922675285481551</v>
      </c>
      <c r="T84" s="29">
        <f t="shared" ca="1" si="101"/>
        <v>5.9500477732633632</v>
      </c>
      <c r="U84" s="16"/>
      <c r="V84" s="27">
        <v>17</v>
      </c>
      <c r="W84" s="30">
        <f t="shared" si="82"/>
        <v>47505</v>
      </c>
      <c r="X84" s="26">
        <f t="shared" si="62"/>
        <v>47260</v>
      </c>
      <c r="Y84" s="55">
        <v>197</v>
      </c>
      <c r="Z84" s="56">
        <f t="shared" ca="1" si="102"/>
        <v>482.20834486006913</v>
      </c>
      <c r="AA84" s="28">
        <f t="shared" ca="1" si="83"/>
        <v>7.3616188843367336</v>
      </c>
      <c r="AB84" s="28">
        <f t="shared" si="63"/>
        <v>0.6922675285481551</v>
      </c>
      <c r="AC84" s="29">
        <f t="shared" ca="1" si="103"/>
        <v>5.0962097111732172</v>
      </c>
      <c r="AD84" s="16"/>
      <c r="AE84" s="27">
        <v>17</v>
      </c>
      <c r="AF84" s="30">
        <f t="shared" si="84"/>
        <v>47505</v>
      </c>
      <c r="AG84" s="26">
        <f t="shared" si="64"/>
        <v>47260</v>
      </c>
      <c r="AH84" s="55">
        <v>197</v>
      </c>
      <c r="AI84" s="56">
        <f t="shared" ca="1" si="104"/>
        <v>562.83394740077131</v>
      </c>
      <c r="AJ84" s="28">
        <f t="shared" ca="1" si="85"/>
        <v>8.5924871688681783</v>
      </c>
      <c r="AK84" s="28">
        <f t="shared" si="65"/>
        <v>0.6922675285481551</v>
      </c>
      <c r="AL84" s="29">
        <f t="shared" ca="1" si="105"/>
        <v>5.9482998564741081</v>
      </c>
      <c r="AM84" s="33"/>
      <c r="AN84" s="27">
        <v>17</v>
      </c>
      <c r="AO84" s="30">
        <f t="shared" si="86"/>
        <v>47505</v>
      </c>
      <c r="AP84" s="26">
        <f t="shared" si="66"/>
        <v>47260</v>
      </c>
      <c r="AQ84" s="55">
        <v>197</v>
      </c>
      <c r="AR84" s="56">
        <f t="shared" ca="1" si="106"/>
        <v>433.82108970984257</v>
      </c>
      <c r="AS84" s="28">
        <f t="shared" ca="1" si="87"/>
        <v>6.6229163399448581</v>
      </c>
      <c r="AT84" s="28">
        <f t="shared" si="67"/>
        <v>0.6922675285481551</v>
      </c>
      <c r="AU84" s="29">
        <f t="shared" ca="1" si="107"/>
        <v>4.5848299264348196</v>
      </c>
      <c r="AV84" s="33"/>
      <c r="AW84" s="27">
        <v>17</v>
      </c>
      <c r="AX84" s="30">
        <f t="shared" si="88"/>
        <v>47505</v>
      </c>
      <c r="AY84" s="26">
        <f t="shared" si="68"/>
        <v>47260</v>
      </c>
      <c r="AZ84" s="55">
        <v>197</v>
      </c>
      <c r="BA84" s="56">
        <f t="shared" ca="1" si="108"/>
        <v>677.77920056258142</v>
      </c>
      <c r="BB84" s="28">
        <f t="shared" ca="1" si="89"/>
        <v>10.347295345376198</v>
      </c>
      <c r="BC84" s="28">
        <f t="shared" si="69"/>
        <v>0.6922675285481551</v>
      </c>
      <c r="BD84" s="29">
        <f t="shared" ca="1" si="109"/>
        <v>7.1630965759014096</v>
      </c>
      <c r="BE84" s="33"/>
      <c r="BF84" s="27">
        <v>17</v>
      </c>
      <c r="BG84" s="30">
        <f t="shared" si="90"/>
        <v>47505</v>
      </c>
      <c r="BH84" s="26">
        <f t="shared" si="70"/>
        <v>47260</v>
      </c>
      <c r="BI84" s="55">
        <v>197</v>
      </c>
      <c r="BJ84" s="56">
        <f t="shared" ca="1" si="110"/>
        <v>490.5433066413143</v>
      </c>
      <c r="BK84" s="28">
        <f t="shared" ca="1" si="91"/>
        <v>7.4888643223368669</v>
      </c>
      <c r="BL84" s="28">
        <f t="shared" si="71"/>
        <v>0.6922675285481551</v>
      </c>
      <c r="BM84" s="29">
        <f t="shared" ca="1" si="111"/>
        <v>5.1842975960565969</v>
      </c>
      <c r="BN84" s="33"/>
      <c r="BO84" s="27">
        <v>17</v>
      </c>
      <c r="BP84" s="30">
        <f t="shared" si="92"/>
        <v>47505</v>
      </c>
      <c r="BQ84" s="26">
        <f t="shared" si="72"/>
        <v>47260</v>
      </c>
      <c r="BR84" s="55">
        <v>197</v>
      </c>
      <c r="BS84" s="56">
        <f t="shared" ca="1" si="112"/>
        <v>679.57453547416787</v>
      </c>
      <c r="BT84" s="28">
        <f t="shared" ca="1" si="93"/>
        <v>10.374703770654857</v>
      </c>
      <c r="BU84" s="28">
        <f t="shared" si="73"/>
        <v>0.6922675285481551</v>
      </c>
      <c r="BV84" s="29">
        <f t="shared" ca="1" si="113"/>
        <v>7.1820705387304642</v>
      </c>
      <c r="BW84" s="33"/>
      <c r="BX84" s="27">
        <v>17</v>
      </c>
      <c r="BY84" s="30">
        <f t="shared" si="94"/>
        <v>47505</v>
      </c>
      <c r="BZ84" s="26">
        <f t="shared" si="74"/>
        <v>47260</v>
      </c>
      <c r="CA84" s="55">
        <v>197</v>
      </c>
      <c r="CB84" s="56">
        <f t="shared" ca="1" si="114"/>
        <v>445.14343306349406</v>
      </c>
      <c r="CC84" s="28">
        <f t="shared" ca="1" si="95"/>
        <v>6.795768546953787</v>
      </c>
      <c r="CD84" s="28">
        <f t="shared" si="75"/>
        <v>0.6922675285481551</v>
      </c>
      <c r="CE84" s="29">
        <f t="shared" ca="1" si="115"/>
        <v>4.7044898965849855</v>
      </c>
      <c r="CF84" s="33"/>
      <c r="CG84" s="27">
        <v>17</v>
      </c>
      <c r="CH84" s="30">
        <f t="shared" si="96"/>
        <v>47505</v>
      </c>
      <c r="CI84" s="26">
        <f t="shared" si="76"/>
        <v>47260</v>
      </c>
      <c r="CJ84" s="55">
        <v>197</v>
      </c>
      <c r="CK84" s="56">
        <f t="shared" ca="1" si="116"/>
        <v>233.03894494575383</v>
      </c>
      <c r="CL84" s="28">
        <f t="shared" ca="1" si="97"/>
        <v>3.5576818945271449</v>
      </c>
      <c r="CM84" s="28">
        <f t="shared" si="77"/>
        <v>0.6922675285481551</v>
      </c>
      <c r="CN84" s="29">
        <f t="shared" ca="1" si="117"/>
        <v>2.462867652484825</v>
      </c>
      <c r="CO84" s="33"/>
      <c r="CP84" s="27">
        <v>17</v>
      </c>
      <c r="CQ84" s="30">
        <f t="shared" si="98"/>
        <v>47505</v>
      </c>
      <c r="CR84" s="26">
        <f t="shared" si="78"/>
        <v>47260</v>
      </c>
      <c r="CS84" s="55">
        <v>197</v>
      </c>
      <c r="CT84" s="56">
        <f t="shared" ca="1" si="118"/>
        <v>673.62011654317826</v>
      </c>
      <c r="CU84" s="28">
        <f t="shared" ca="1" si="99"/>
        <v>10.283800816952667</v>
      </c>
      <c r="CV84" s="28">
        <f t="shared" si="79"/>
        <v>0.6922675285481551</v>
      </c>
      <c r="CW84" s="29">
        <f t="shared" ca="1" si="119"/>
        <v>7.1191413756333208</v>
      </c>
      <c r="CX84" s="33"/>
      <c r="CY84" s="33"/>
    </row>
    <row r="85" spans="1:103" ht="15.5" x14ac:dyDescent="0.35">
      <c r="A85" s="16"/>
      <c r="B85" s="16"/>
      <c r="C85" s="16"/>
      <c r="D85" s="16"/>
      <c r="E85" s="16"/>
      <c r="F85" s="16"/>
      <c r="G85" s="16"/>
      <c r="H85" s="16"/>
      <c r="I85" s="16"/>
      <c r="J85" s="16"/>
      <c r="K85" s="16"/>
      <c r="L85" s="16"/>
      <c r="M85" s="27">
        <v>17.5</v>
      </c>
      <c r="N85" s="30">
        <f t="shared" si="80"/>
        <v>47686</v>
      </c>
      <c r="O85" s="30">
        <f t="shared" si="60"/>
        <v>47444</v>
      </c>
      <c r="P85" s="55">
        <v>203</v>
      </c>
      <c r="Q85" s="56">
        <f t="shared" ca="1" si="100"/>
        <v>577.31972077181797</v>
      </c>
      <c r="R85" s="28">
        <f ca="1">(coupon_rdemption+coupon)*Q85/RPI_base</f>
        <v>436.14133235583773</v>
      </c>
      <c r="S85" s="28">
        <f t="shared" si="61"/>
        <v>0.68481952869572682</v>
      </c>
      <c r="T85" s="29">
        <f t="shared" ca="1" si="101"/>
        <v>298.67810166865115</v>
      </c>
      <c r="U85" s="16"/>
      <c r="V85" s="27">
        <v>17.5</v>
      </c>
      <c r="W85" s="30">
        <f t="shared" si="82"/>
        <v>47686</v>
      </c>
      <c r="X85" s="30">
        <f t="shared" si="62"/>
        <v>47444</v>
      </c>
      <c r="Y85" s="55">
        <v>203</v>
      </c>
      <c r="Z85" s="56">
        <f t="shared" ca="1" si="102"/>
        <v>492.14638851173714</v>
      </c>
      <c r="AA85" s="28">
        <f ca="1">(coupon_rdemption+coupon)*Z85/RPI_base</f>
        <v>371.79637881183692</v>
      </c>
      <c r="AB85" s="28">
        <f t="shared" si="63"/>
        <v>0.68481952869572682</v>
      </c>
      <c r="AC85" s="29">
        <f t="shared" ca="1" si="103"/>
        <v>254.61342090870008</v>
      </c>
      <c r="AD85" s="16"/>
      <c r="AE85" s="27">
        <v>17.5</v>
      </c>
      <c r="AF85" s="30">
        <f t="shared" si="84"/>
        <v>47686</v>
      </c>
      <c r="AG85" s="30">
        <f t="shared" si="64"/>
        <v>47444</v>
      </c>
      <c r="AH85" s="55">
        <v>203</v>
      </c>
      <c r="AI85" s="56">
        <f t="shared" ca="1" si="104"/>
        <v>577.14495975504462</v>
      </c>
      <c r="AJ85" s="28">
        <f ca="1">(coupon_rdemption+coupon)*AI85/RPI_base</f>
        <v>436.009307586967</v>
      </c>
      <c r="AK85" s="28">
        <f t="shared" si="65"/>
        <v>0.68481952869572682</v>
      </c>
      <c r="AL85" s="29">
        <f t="shared" ca="1" si="105"/>
        <v>298.58768852865694</v>
      </c>
      <c r="AM85" s="33"/>
      <c r="AN85" s="27">
        <v>17.5</v>
      </c>
      <c r="AO85" s="30">
        <f t="shared" si="86"/>
        <v>47686</v>
      </c>
      <c r="AP85" s="30">
        <f t="shared" si="66"/>
        <v>47444</v>
      </c>
      <c r="AQ85" s="55">
        <v>203</v>
      </c>
      <c r="AR85" s="56">
        <f t="shared" ca="1" si="106"/>
        <v>441.33822017279113</v>
      </c>
      <c r="AS85" s="28">
        <f ca="1">(coupon_rdemption+coupon)*AR85/RPI_base</f>
        <v>333.41289486591779</v>
      </c>
      <c r="AT85" s="28">
        <f t="shared" si="67"/>
        <v>0.68481952869572682</v>
      </c>
      <c r="AU85" s="29">
        <f t="shared" ca="1" si="107"/>
        <v>228.32766152315574</v>
      </c>
      <c r="AV85" s="33"/>
      <c r="AW85" s="27">
        <v>17.5</v>
      </c>
      <c r="AX85" s="30">
        <f t="shared" si="88"/>
        <v>47686</v>
      </c>
      <c r="AY85" s="30">
        <f t="shared" si="68"/>
        <v>47444</v>
      </c>
      <c r="AZ85" s="55">
        <v>203</v>
      </c>
      <c r="BA85" s="56">
        <f t="shared" ca="1" si="108"/>
        <v>698.95782406139608</v>
      </c>
      <c r="BB85" s="28">
        <f ca="1">(coupon_rdemption+coupon)*BA85/RPI_base</f>
        <v>528.03392241499819</v>
      </c>
      <c r="BC85" s="28">
        <f t="shared" si="69"/>
        <v>0.68481952869572682</v>
      </c>
      <c r="BD85" s="29">
        <f t="shared" ca="1" si="109"/>
        <v>361.60794188359506</v>
      </c>
      <c r="BE85" s="33"/>
      <c r="BF85" s="27">
        <v>17.5</v>
      </c>
      <c r="BG85" s="30">
        <f t="shared" si="90"/>
        <v>47686</v>
      </c>
      <c r="BH85" s="30">
        <f t="shared" si="70"/>
        <v>47444</v>
      </c>
      <c r="BI85" s="55">
        <v>203</v>
      </c>
      <c r="BJ85" s="56">
        <f t="shared" ca="1" si="110"/>
        <v>500.91451231842467</v>
      </c>
      <c r="BK85" s="28">
        <f ca="1">(coupon_rdemption+coupon)*BJ85/RPI_base</f>
        <v>378.42033614729252</v>
      </c>
      <c r="BL85" s="28">
        <f t="shared" si="71"/>
        <v>0.68481952869572682</v>
      </c>
      <c r="BM85" s="29">
        <f t="shared" ca="1" si="111"/>
        <v>259.14963624926736</v>
      </c>
      <c r="BN85" s="33"/>
      <c r="BO85" s="27">
        <v>17.5</v>
      </c>
      <c r="BP85" s="30">
        <f t="shared" si="92"/>
        <v>47686</v>
      </c>
      <c r="BQ85" s="30">
        <f t="shared" si="72"/>
        <v>47444</v>
      </c>
      <c r="BR85" s="55">
        <v>203</v>
      </c>
      <c r="BS85" s="56">
        <f t="shared" ca="1" si="112"/>
        <v>700.8657236945628</v>
      </c>
      <c r="BT85" s="28">
        <f ca="1">(coupon_rdemption+coupon)*BS85/RPI_base</f>
        <v>529.47526221003932</v>
      </c>
      <c r="BU85" s="28">
        <f t="shared" si="73"/>
        <v>0.68481952869572682</v>
      </c>
      <c r="BV85" s="29">
        <f t="shared" ca="1" si="113"/>
        <v>362.59499952272552</v>
      </c>
      <c r="BW85" s="33"/>
      <c r="BX85" s="27">
        <v>17.5</v>
      </c>
      <c r="BY85" s="30">
        <f t="shared" si="94"/>
        <v>47686</v>
      </c>
      <c r="BZ85" s="30">
        <f t="shared" si="74"/>
        <v>47444</v>
      </c>
      <c r="CA85" s="55">
        <v>203</v>
      </c>
      <c r="CB85" s="56">
        <f t="shared" ca="1" si="114"/>
        <v>453.21225037836024</v>
      </c>
      <c r="CC85" s="28">
        <f ca="1">(coupon_rdemption+coupon)*CB85/RPI_base</f>
        <v>342.38323689297852</v>
      </c>
      <c r="CD85" s="28">
        <f t="shared" si="75"/>
        <v>0.68481952869572682</v>
      </c>
      <c r="CE85" s="29">
        <f t="shared" ca="1" si="115"/>
        <v>234.47072692236694</v>
      </c>
      <c r="CF85" s="33"/>
      <c r="CG85" s="27">
        <v>17.5</v>
      </c>
      <c r="CH85" s="30">
        <f t="shared" si="96"/>
        <v>47686</v>
      </c>
      <c r="CI85" s="30">
        <f t="shared" si="76"/>
        <v>47444</v>
      </c>
      <c r="CJ85" s="55">
        <v>203</v>
      </c>
      <c r="CK85" s="56">
        <f t="shared" ca="1" si="116"/>
        <v>232.63209010918297</v>
      </c>
      <c r="CL85" s="28">
        <f ca="1">(coupon_rdemption+coupon)*CK85/RPI_base</f>
        <v>175.74398739280895</v>
      </c>
      <c r="CM85" s="28">
        <f t="shared" si="77"/>
        <v>0.68481952869572682</v>
      </c>
      <c r="CN85" s="29">
        <f t="shared" ca="1" si="117"/>
        <v>120.35291461745118</v>
      </c>
      <c r="CO85" s="33"/>
      <c r="CP85" s="27">
        <v>17.5</v>
      </c>
      <c r="CQ85" s="30">
        <f t="shared" si="98"/>
        <v>47686</v>
      </c>
      <c r="CR85" s="30">
        <f t="shared" si="78"/>
        <v>47444</v>
      </c>
      <c r="CS85" s="55">
        <v>203</v>
      </c>
      <c r="CT85" s="56">
        <f t="shared" ca="1" si="118"/>
        <v>694.53856386157224</v>
      </c>
      <c r="CU85" s="28">
        <f ca="1">(coupon_rdemption+coupon)*CT85/RPI_base</f>
        <v>524.69535288024963</v>
      </c>
      <c r="CV85" s="28">
        <f t="shared" si="79"/>
        <v>0.68481952869572682</v>
      </c>
      <c r="CW85" s="29">
        <f t="shared" ca="1" si="119"/>
        <v>359.32162426829063</v>
      </c>
      <c r="CX85" s="33"/>
      <c r="CY85" s="33"/>
    </row>
    <row r="86" spans="1:103" ht="15.5" x14ac:dyDescent="0.35">
      <c r="A86" s="16"/>
      <c r="B86" s="16"/>
      <c r="C86" s="16"/>
      <c r="D86" s="16"/>
      <c r="E86" s="16"/>
      <c r="F86" s="16"/>
      <c r="G86" s="16"/>
      <c r="H86" s="16"/>
      <c r="I86" s="16"/>
      <c r="J86" s="16"/>
      <c r="K86" s="16"/>
      <c r="L86" s="16"/>
      <c r="M86" s="36" t="s">
        <v>92</v>
      </c>
      <c r="N86" s="118">
        <f ca="1">SUM(T50:T85)</f>
        <v>0</v>
      </c>
      <c r="O86" s="119"/>
      <c r="P86" s="119"/>
      <c r="Q86" s="119"/>
      <c r="R86" s="119"/>
      <c r="S86" s="119"/>
      <c r="T86" s="120"/>
      <c r="U86" s="16"/>
      <c r="V86" s="36" t="s">
        <v>92</v>
      </c>
      <c r="W86" s="118">
        <f ca="1">SUM(AC50:AC85)</f>
        <v>0</v>
      </c>
      <c r="X86" s="119"/>
      <c r="Y86" s="119"/>
      <c r="Z86" s="119"/>
      <c r="AA86" s="119"/>
      <c r="AB86" s="119"/>
      <c r="AC86" s="120"/>
      <c r="AD86" s="16"/>
      <c r="AE86" s="36" t="s">
        <v>92</v>
      </c>
      <c r="AF86" s="118">
        <f ca="1">SUM(AL50:AL85)</f>
        <v>0</v>
      </c>
      <c r="AG86" s="119"/>
      <c r="AH86" s="119"/>
      <c r="AI86" s="119"/>
      <c r="AJ86" s="119"/>
      <c r="AK86" s="119"/>
      <c r="AL86" s="120"/>
      <c r="AM86" s="33"/>
      <c r="AN86" s="36" t="s">
        <v>92</v>
      </c>
      <c r="AO86" s="118">
        <f ca="1">SUM(AU50:AU85)</f>
        <v>0</v>
      </c>
      <c r="AP86" s="119"/>
      <c r="AQ86" s="119"/>
      <c r="AR86" s="119"/>
      <c r="AS86" s="119"/>
      <c r="AT86" s="119"/>
      <c r="AU86" s="120"/>
      <c r="AV86" s="33"/>
      <c r="AW86" s="36" t="s">
        <v>92</v>
      </c>
      <c r="AX86" s="118">
        <f ca="1">SUM(BD50:BD85)</f>
        <v>0</v>
      </c>
      <c r="AY86" s="119"/>
      <c r="AZ86" s="119"/>
      <c r="BA86" s="119"/>
      <c r="BB86" s="119"/>
      <c r="BC86" s="119"/>
      <c r="BD86" s="120"/>
      <c r="BE86" s="33"/>
      <c r="BF86" s="36" t="s">
        <v>92</v>
      </c>
      <c r="BG86" s="118">
        <f ca="1">SUM(BM50:BM85)</f>
        <v>0</v>
      </c>
      <c r="BH86" s="119"/>
      <c r="BI86" s="119"/>
      <c r="BJ86" s="119"/>
      <c r="BK86" s="119"/>
      <c r="BL86" s="119"/>
      <c r="BM86" s="120"/>
      <c r="BN86" s="33"/>
      <c r="BO86" s="36" t="s">
        <v>92</v>
      </c>
      <c r="BP86" s="118">
        <f ca="1">SUM(BV50:BV85)</f>
        <v>0</v>
      </c>
      <c r="BQ86" s="119"/>
      <c r="BR86" s="119"/>
      <c r="BS86" s="119"/>
      <c r="BT86" s="119"/>
      <c r="BU86" s="119"/>
      <c r="BV86" s="120"/>
      <c r="BW86" s="33"/>
      <c r="BX86" s="36" t="s">
        <v>92</v>
      </c>
      <c r="BY86" s="118">
        <f ca="1">SUM(CE50:CE85)</f>
        <v>0</v>
      </c>
      <c r="BZ86" s="119"/>
      <c r="CA86" s="119"/>
      <c r="CB86" s="119"/>
      <c r="CC86" s="119"/>
      <c r="CD86" s="119"/>
      <c r="CE86" s="120"/>
      <c r="CF86" s="33"/>
      <c r="CG86" s="36" t="s">
        <v>92</v>
      </c>
      <c r="CH86" s="118">
        <f ca="1">SUM(CN50:CN85)</f>
        <v>0</v>
      </c>
      <c r="CI86" s="119"/>
      <c r="CJ86" s="119"/>
      <c r="CK86" s="119"/>
      <c r="CL86" s="119"/>
      <c r="CM86" s="119"/>
      <c r="CN86" s="120"/>
      <c r="CO86" s="33"/>
      <c r="CP86" s="36" t="s">
        <v>92</v>
      </c>
      <c r="CQ86" s="118">
        <f ca="1">SUM(CW50:CW85)</f>
        <v>0</v>
      </c>
      <c r="CR86" s="119"/>
      <c r="CS86" s="119"/>
      <c r="CT86" s="119"/>
      <c r="CU86" s="119"/>
      <c r="CV86" s="119"/>
      <c r="CW86" s="120"/>
      <c r="CX86" s="33"/>
      <c r="CY86" s="33"/>
    </row>
    <row r="87" spans="1:103" ht="15.5"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row>
    <row r="88" spans="1:103" ht="15.5"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row>
    <row r="89" spans="1:103" ht="15.5"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row>
    <row r="90" spans="1:103" ht="15.5"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row>
    <row r="91" spans="1:103" ht="15.5"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row>
    <row r="92" spans="1:103" ht="15.5"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row>
    <row r="93" spans="1:103" ht="15.5"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row>
    <row r="94" spans="1:103"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103"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103"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sheetData>
  <mergeCells count="179">
    <mergeCell ref="N86:T86"/>
    <mergeCell ref="W86:AC86"/>
    <mergeCell ref="AF86:AL86"/>
    <mergeCell ref="AO86:AU86"/>
    <mergeCell ref="AX86:BD86"/>
    <mergeCell ref="BG86:BM86"/>
    <mergeCell ref="BP86:BV86"/>
    <mergeCell ref="BY86:CE86"/>
    <mergeCell ref="CH86:CN86"/>
    <mergeCell ref="CQ86:CW86"/>
    <mergeCell ref="CE47:CE48"/>
    <mergeCell ref="CG47:CG48"/>
    <mergeCell ref="CH47:CH48"/>
    <mergeCell ref="CK47:CK48"/>
    <mergeCell ref="CM47:CM48"/>
    <mergeCell ref="CN47:CN48"/>
    <mergeCell ref="CP47:CP48"/>
    <mergeCell ref="CQ47:CQ48"/>
    <mergeCell ref="CT47:CT48"/>
    <mergeCell ref="CV47:CV48"/>
    <mergeCell ref="CW47:CW48"/>
    <mergeCell ref="B55:J55"/>
    <mergeCell ref="B54:J54"/>
    <mergeCell ref="B53:J53"/>
    <mergeCell ref="N44:T44"/>
    <mergeCell ref="W44:AC44"/>
    <mergeCell ref="AF44:AL44"/>
    <mergeCell ref="AO44:AU44"/>
    <mergeCell ref="AX44:BD44"/>
    <mergeCell ref="V47:V48"/>
    <mergeCell ref="W47:W48"/>
    <mergeCell ref="Z47:Z48"/>
    <mergeCell ref="AB47:AB48"/>
    <mergeCell ref="AC47:AC48"/>
    <mergeCell ref="AE47:AE48"/>
    <mergeCell ref="AF47:AF48"/>
    <mergeCell ref="AI47:AI48"/>
    <mergeCell ref="AK47:AK48"/>
    <mergeCell ref="AL47:AL48"/>
    <mergeCell ref="AN47:AN48"/>
    <mergeCell ref="AO47:AO48"/>
    <mergeCell ref="AR47:AR48"/>
    <mergeCell ref="AT47:AT48"/>
    <mergeCell ref="AU47:AU48"/>
    <mergeCell ref="AW47:AW48"/>
    <mergeCell ref="BG44:BM44"/>
    <mergeCell ref="BP44:BV44"/>
    <mergeCell ref="BY44:CE44"/>
    <mergeCell ref="CH44:CN44"/>
    <mergeCell ref="CQ44:CW44"/>
    <mergeCell ref="BA47:BA48"/>
    <mergeCell ref="BC47:BC48"/>
    <mergeCell ref="BD47:BD48"/>
    <mergeCell ref="BF47:BF48"/>
    <mergeCell ref="BG47:BG48"/>
    <mergeCell ref="BJ47:BJ48"/>
    <mergeCell ref="BL47:BL48"/>
    <mergeCell ref="BM47:BM48"/>
    <mergeCell ref="BO47:BO48"/>
    <mergeCell ref="BP47:BP48"/>
    <mergeCell ref="BS47:BS48"/>
    <mergeCell ref="BU47:BU48"/>
    <mergeCell ref="BV47:BV48"/>
    <mergeCell ref="BX47:BX48"/>
    <mergeCell ref="BY47:BY48"/>
    <mergeCell ref="CB47:CB48"/>
    <mergeCell ref="CD47:CD48"/>
    <mergeCell ref="AX47:AX48"/>
    <mergeCell ref="CT5:CT6"/>
    <mergeCell ref="CV5:CV6"/>
    <mergeCell ref="CW5:CW6"/>
    <mergeCell ref="M5:M6"/>
    <mergeCell ref="N5:N6"/>
    <mergeCell ref="V5:V6"/>
    <mergeCell ref="W5:W6"/>
    <mergeCell ref="AE5:AE6"/>
    <mergeCell ref="AF5:AF6"/>
    <mergeCell ref="AO5:AO6"/>
    <mergeCell ref="AW5:AW6"/>
    <mergeCell ref="AX5:AX6"/>
    <mergeCell ref="BF5:BF6"/>
    <mergeCell ref="BG5:BG6"/>
    <mergeCell ref="BO5:BO6"/>
    <mergeCell ref="BP5:BP6"/>
    <mergeCell ref="BX5:BX6"/>
    <mergeCell ref="BY5:BY6"/>
    <mergeCell ref="CG5:CG6"/>
    <mergeCell ref="CH5:CH6"/>
    <mergeCell ref="CP5:CP6"/>
    <mergeCell ref="CQ5:CQ6"/>
    <mergeCell ref="BV5:BV6"/>
    <mergeCell ref="CD5:CD6"/>
    <mergeCell ref="CE5:CE6"/>
    <mergeCell ref="CK5:CK6"/>
    <mergeCell ref="CM5:CM6"/>
    <mergeCell ref="E26:F26"/>
    <mergeCell ref="D16:F16"/>
    <mergeCell ref="D18:F18"/>
    <mergeCell ref="D19:F19"/>
    <mergeCell ref="D20:F20"/>
    <mergeCell ref="AL5:AL6"/>
    <mergeCell ref="AN5:AN6"/>
    <mergeCell ref="D8:F8"/>
    <mergeCell ref="D9:F9"/>
    <mergeCell ref="D10:F10"/>
    <mergeCell ref="D11:F11"/>
    <mergeCell ref="D12:F12"/>
    <mergeCell ref="D13:F13"/>
    <mergeCell ref="D14:F14"/>
    <mergeCell ref="D15:F15"/>
    <mergeCell ref="D17:F17"/>
    <mergeCell ref="AR5:AR6"/>
    <mergeCell ref="AT5:AT6"/>
    <mergeCell ref="E29:F29"/>
    <mergeCell ref="E30:F30"/>
    <mergeCell ref="E31:F31"/>
    <mergeCell ref="E32:F32"/>
    <mergeCell ref="E33:F33"/>
    <mergeCell ref="E34:F34"/>
    <mergeCell ref="E35:F35"/>
    <mergeCell ref="BS5:BS6"/>
    <mergeCell ref="BU5:BU6"/>
    <mergeCell ref="AU5:AU6"/>
    <mergeCell ref="BA5:BA6"/>
    <mergeCell ref="BC5:BC6"/>
    <mergeCell ref="BD5:BD6"/>
    <mergeCell ref="BJ5:BJ6"/>
    <mergeCell ref="BL5:BL6"/>
    <mergeCell ref="BM5:BM6"/>
    <mergeCell ref="H16:K16"/>
    <mergeCell ref="AK5:AK6"/>
    <mergeCell ref="E27:F27"/>
    <mergeCell ref="E28:F28"/>
    <mergeCell ref="D21:F21"/>
    <mergeCell ref="E45:F45"/>
    <mergeCell ref="E46:F46"/>
    <mergeCell ref="CP46:CW46"/>
    <mergeCell ref="CG46:CN46"/>
    <mergeCell ref="BX46:CE46"/>
    <mergeCell ref="BO46:BV46"/>
    <mergeCell ref="BF46:BM46"/>
    <mergeCell ref="AW46:BD46"/>
    <mergeCell ref="AN46:AU46"/>
    <mergeCell ref="AE46:AL46"/>
    <mergeCell ref="V46:AC46"/>
    <mergeCell ref="M46:T46"/>
    <mergeCell ref="E36:F36"/>
    <mergeCell ref="E37:F37"/>
    <mergeCell ref="E38:F38"/>
    <mergeCell ref="E39:F39"/>
    <mergeCell ref="E40:F40"/>
    <mergeCell ref="E41:F41"/>
    <mergeCell ref="E42:F42"/>
    <mergeCell ref="E43:F43"/>
    <mergeCell ref="E44:F44"/>
    <mergeCell ref="M47:M48"/>
    <mergeCell ref="N47:N48"/>
    <mergeCell ref="Q47:Q48"/>
    <mergeCell ref="S47:S48"/>
    <mergeCell ref="T47:T48"/>
    <mergeCell ref="CP4:CW4"/>
    <mergeCell ref="CG4:CN4"/>
    <mergeCell ref="CN5:CN6"/>
    <mergeCell ref="BX4:CE4"/>
    <mergeCell ref="BO4:BV4"/>
    <mergeCell ref="BF4:BM4"/>
    <mergeCell ref="AW4:BD4"/>
    <mergeCell ref="AN4:AU4"/>
    <mergeCell ref="AE4:AL4"/>
    <mergeCell ref="M4:T4"/>
    <mergeCell ref="V4:AC4"/>
    <mergeCell ref="Q5:Q6"/>
    <mergeCell ref="S5:S6"/>
    <mergeCell ref="T5:T6"/>
    <mergeCell ref="Z5:Z6"/>
    <mergeCell ref="AB5:AB6"/>
    <mergeCell ref="AC5:AC6"/>
    <mergeCell ref="AI5:AI6"/>
    <mergeCell ref="CB5:CB6"/>
  </mergeCells>
  <phoneticPr fontId="6" type="noConversion"/>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63</vt:i4>
      </vt:variant>
    </vt:vector>
  </HeadingPairs>
  <TitlesOfParts>
    <vt:vector size="67" baseType="lpstr">
      <vt:lpstr>Q1a</vt:lpstr>
      <vt:lpstr>Q1b</vt:lpstr>
      <vt:lpstr>Q2a</vt:lpstr>
      <vt:lpstr>Q2b, Q2c</vt:lpstr>
      <vt:lpstr>Q1b!base_RPI</vt:lpstr>
      <vt:lpstr>Q2a!base_RPI</vt:lpstr>
      <vt:lpstr>base_RPI</vt:lpstr>
      <vt:lpstr>coupon</vt:lpstr>
      <vt:lpstr>coupon_rdemption</vt:lpstr>
      <vt:lpstr>date_issue</vt:lpstr>
      <vt:lpstr>date_redeem</vt:lpstr>
      <vt:lpstr>date_today</vt:lpstr>
      <vt:lpstr>Q1b!i</vt:lpstr>
      <vt:lpstr>Q2a!i</vt:lpstr>
      <vt:lpstr>i</vt:lpstr>
      <vt:lpstr>Q1b!issue_date</vt:lpstr>
      <vt:lpstr>Q2a!issue_date</vt:lpstr>
      <vt:lpstr>'Q2b, Q2c'!issue_date</vt:lpstr>
      <vt:lpstr>issue_date</vt:lpstr>
      <vt:lpstr>lag_time</vt:lpstr>
      <vt:lpstr>Q1b!last_RPI</vt:lpstr>
      <vt:lpstr>Q2a!last_RPI</vt:lpstr>
      <vt:lpstr>last_RPI</vt:lpstr>
      <vt:lpstr>money_yield</vt:lpstr>
      <vt:lpstr>Q2a!mu</vt:lpstr>
      <vt:lpstr>'Q2b, Q2c'!mu</vt:lpstr>
      <vt:lpstr>Q1b!nominal_coupon</vt:lpstr>
      <vt:lpstr>Q2a!nominal_coupon</vt:lpstr>
      <vt:lpstr>nominal_coupon</vt:lpstr>
      <vt:lpstr>ori_coupon</vt:lpstr>
      <vt:lpstr>Q2a!present_value</vt:lpstr>
      <vt:lpstr>Q1b!q</vt:lpstr>
      <vt:lpstr>Q2a!q</vt:lpstr>
      <vt:lpstr>q</vt:lpstr>
      <vt:lpstr>q_1</vt:lpstr>
      <vt:lpstr>q_10</vt:lpstr>
      <vt:lpstr>q_11</vt:lpstr>
      <vt:lpstr>q_12</vt:lpstr>
      <vt:lpstr>q_13</vt:lpstr>
      <vt:lpstr>q_14</vt:lpstr>
      <vt:lpstr>q_15</vt:lpstr>
      <vt:lpstr>q_16</vt:lpstr>
      <vt:lpstr>q_17</vt:lpstr>
      <vt:lpstr>q_18</vt:lpstr>
      <vt:lpstr>q_19</vt:lpstr>
      <vt:lpstr>q_2</vt:lpstr>
      <vt:lpstr>q_20</vt:lpstr>
      <vt:lpstr>q_3</vt:lpstr>
      <vt:lpstr>q_4</vt:lpstr>
      <vt:lpstr>q_5</vt:lpstr>
      <vt:lpstr>q_6</vt:lpstr>
      <vt:lpstr>q_7</vt:lpstr>
      <vt:lpstr>q_8</vt:lpstr>
      <vt:lpstr>q_9</vt:lpstr>
      <vt:lpstr>rdemption_coupon</vt:lpstr>
      <vt:lpstr>Q1b!redeem_date</vt:lpstr>
      <vt:lpstr>Q2a!redeem_date</vt:lpstr>
      <vt:lpstr>'Q2b, Q2c'!redeem_date</vt:lpstr>
      <vt:lpstr>redeem_date</vt:lpstr>
      <vt:lpstr>RPI_base</vt:lpstr>
      <vt:lpstr>RPI_last</vt:lpstr>
      <vt:lpstr>RPI_nov12</vt:lpstr>
      <vt:lpstr>Q2a!sigma</vt:lpstr>
      <vt:lpstr>'Q2b, Q2c'!sigma</vt:lpstr>
      <vt:lpstr>Q1b!time_lag</vt:lpstr>
      <vt:lpstr>Q2a!time_lag</vt:lpstr>
      <vt:lpstr>time_lag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Natasha Hannah</dc:creator>
  <cp:lastModifiedBy>Natasha Hannah</cp:lastModifiedBy>
  <dcterms:created xsi:type="dcterms:W3CDTF">2024-03-23T15:27:37Z</dcterms:created>
  <dcterms:modified xsi:type="dcterms:W3CDTF">2024-03-27T04:43:09Z</dcterms:modified>
</cp:coreProperties>
</file>