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a\Desktop\"/>
    </mc:Choice>
  </mc:AlternateContent>
  <xr:revisionPtr revIDLastSave="1" documentId="13_ncr:1_{2113F51B-7162-40FC-AAE8-FEDB616DC944}" xr6:coauthVersionLast="47" xr6:coauthVersionMax="47" xr10:uidLastSave="{F968253B-44EB-46A5-870C-6D3D4303A293}"/>
  <bookViews>
    <workbookView xWindow="-120" yWindow="-120" windowWidth="20730" windowHeight="11160" firstSheet="2" activeTab="2" xr2:uid="{540F1F8B-931E-4DD9-96C1-CAC6EE683A6A}"/>
  </bookViews>
  <sheets>
    <sheet name="Salaries &amp; Budgets" sheetId="1" r:id="rId1"/>
    <sheet name="Firm Budget YE 2026" sheetId="3" r:id="rId2"/>
    <sheet name="Individual Budget YE 2026" sheetId="4" r:id="rId3"/>
    <sheet name="YTD Figures Employees" sheetId="6" r:id="rId4"/>
    <sheet name="Indirect Cost Budget" sheetId="7" r:id="rId5"/>
    <sheet name="Consultants Recon YE 2025" sheetId="36" r:id="rId6"/>
    <sheet name="Mar'25 Receipting" sheetId="34" r:id="rId7"/>
    <sheet name="Mar'25 Billing" sheetId="35" r:id="rId8"/>
    <sheet name="Apr'25 Receipting" sheetId="37" r:id="rId9"/>
    <sheet name="Apr'25 Billing" sheetId="38" r:id="rId10"/>
    <sheet name="May'25 Billing" sheetId="42" r:id="rId11"/>
    <sheet name="May'25 Receipting" sheetId="41" r:id="rId12"/>
    <sheet name="Jun'25 Receipting" sheetId="44" r:id="rId13"/>
    <sheet name="June '25 Billing" sheetId="43" r:id="rId14"/>
    <sheet name="July 2025 Billing" sheetId="45" r:id="rId15"/>
    <sheet name="July 2025 Receipting" sheetId="46" r:id="rId16"/>
    <sheet name="August 25 Billing" sheetId="47" r:id="rId17"/>
    <sheet name="August '25 Receipting" sheetId="48" r:id="rId18"/>
    <sheet name="September '25 Billing" sheetId="49" r:id="rId19"/>
    <sheet name="September '25 Receipting" sheetId="50" r:id="rId20"/>
    <sheet name="October '25 Billing" sheetId="52" r:id="rId21"/>
    <sheet name="October '25 Receipting" sheetId="53" r:id="rId22"/>
    <sheet name="November '25 Billing" sheetId="54" r:id="rId23"/>
    <sheet name="November '25Receipting" sheetId="55" r:id="rId24"/>
    <sheet name="December '25 Billing " sheetId="56" r:id="rId25"/>
    <sheet name="December Receipting" sheetId="57" r:id="rId26"/>
    <sheet name="January Billing" sheetId="60" r:id="rId27"/>
    <sheet name="January Receipting" sheetId="61" r:id="rId28"/>
    <sheet name="February Billing" sheetId="63" r:id="rId29"/>
    <sheet name="February Receipting" sheetId="62" r:id="rId30"/>
  </sheets>
  <definedNames>
    <definedName name="Cash_minimu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AF58" i="41"/>
  <c r="AD58" i="41"/>
  <c r="AC58" i="41"/>
  <c r="AB58" i="41"/>
  <c r="AA58" i="41"/>
  <c r="Z58" i="41"/>
  <c r="Y58" i="41"/>
  <c r="X58" i="41"/>
  <c r="W58" i="41"/>
  <c r="H15" i="6" s="1"/>
  <c r="V58" i="41"/>
  <c r="H14" i="6" s="1"/>
  <c r="U58" i="41"/>
  <c r="T58" i="41"/>
  <c r="S58" i="41"/>
  <c r="R58" i="41"/>
  <c r="H10" i="6" s="1"/>
  <c r="Q58" i="41"/>
  <c r="P58" i="41"/>
  <c r="O58" i="41"/>
  <c r="H7" i="6" s="1"/>
  <c r="N58" i="41"/>
  <c r="M58" i="41"/>
  <c r="L58" i="41"/>
  <c r="K58" i="41"/>
  <c r="J58" i="41"/>
  <c r="I58" i="41"/>
  <c r="F58" i="41"/>
  <c r="AE56" i="41"/>
  <c r="H56" i="41"/>
  <c r="H16" i="6"/>
  <c r="H12" i="6"/>
  <c r="H8" i="6"/>
  <c r="H17" i="6"/>
  <c r="H13" i="6"/>
  <c r="H11" i="6"/>
  <c r="H9" i="6"/>
  <c r="AG56" i="41" l="1"/>
  <c r="H18" i="6"/>
  <c r="AE44" i="41"/>
  <c r="G44" i="41"/>
  <c r="H44" i="41" s="1"/>
  <c r="AE43" i="41"/>
  <c r="G43" i="41"/>
  <c r="H43" i="41" s="1"/>
  <c r="AE42" i="41"/>
  <c r="G42" i="41"/>
  <c r="H42" i="41" s="1"/>
  <c r="AE41" i="41"/>
  <c r="AE40" i="41"/>
  <c r="G41" i="41"/>
  <c r="H41" i="41" s="1"/>
  <c r="G40" i="41"/>
  <c r="H40" i="41" s="1"/>
  <c r="AE39" i="41"/>
  <c r="G39" i="41"/>
  <c r="H39" i="41" s="1"/>
  <c r="AG39" i="41" s="1"/>
  <c r="AE38" i="41"/>
  <c r="G38" i="41"/>
  <c r="H38" i="41" s="1"/>
  <c r="AE37" i="41"/>
  <c r="G37" i="41"/>
  <c r="H37" i="41" s="1"/>
  <c r="AE36" i="41"/>
  <c r="G36" i="41"/>
  <c r="H36" i="41" s="1"/>
  <c r="F46" i="42"/>
  <c r="G46" i="42"/>
  <c r="F45" i="42"/>
  <c r="G45" i="42" s="1"/>
  <c r="AD55" i="42"/>
  <c r="AB55" i="42"/>
  <c r="Z55" i="42"/>
  <c r="Y55" i="42"/>
  <c r="X55" i="42"/>
  <c r="W55" i="42"/>
  <c r="V55" i="42"/>
  <c r="U55" i="42"/>
  <c r="C26" i="4" s="1"/>
  <c r="T55" i="42"/>
  <c r="G17" i="6" s="1"/>
  <c r="S55" i="42"/>
  <c r="G16" i="6" s="1"/>
  <c r="R55" i="42"/>
  <c r="G15" i="6" s="1"/>
  <c r="Q55" i="42"/>
  <c r="G14" i="6" s="1"/>
  <c r="P55" i="42"/>
  <c r="O55" i="42"/>
  <c r="G12" i="6" s="1"/>
  <c r="N55" i="42"/>
  <c r="G11" i="6" s="1"/>
  <c r="M55" i="42"/>
  <c r="G10" i="6" s="1"/>
  <c r="L55" i="42"/>
  <c r="G9" i="6" s="1"/>
  <c r="K55" i="42"/>
  <c r="G8" i="6" s="1"/>
  <c r="J55" i="42"/>
  <c r="G7" i="6" s="1"/>
  <c r="I55" i="42"/>
  <c r="E55" i="42"/>
  <c r="AA54" i="42"/>
  <c r="AC54" i="42" s="1"/>
  <c r="AG42" i="41" l="1"/>
  <c r="AG43" i="41"/>
  <c r="AG44" i="41"/>
  <c r="AG40" i="41"/>
  <c r="AG36" i="41"/>
  <c r="AG41" i="41"/>
  <c r="AG38" i="41"/>
  <c r="AG37" i="41"/>
  <c r="G18" i="6"/>
  <c r="H53" i="42"/>
  <c r="H52" i="42"/>
  <c r="H51" i="42"/>
  <c r="H50" i="42"/>
  <c r="H49" i="42"/>
  <c r="H48" i="42"/>
  <c r="H47" i="42"/>
  <c r="H46" i="42"/>
  <c r="H45" i="42"/>
  <c r="H44" i="42"/>
  <c r="H43" i="42"/>
  <c r="H42" i="42"/>
  <c r="H41" i="42"/>
  <c r="H40" i="42"/>
  <c r="H39" i="42"/>
  <c r="H38" i="42"/>
  <c r="H37" i="42"/>
  <c r="H36" i="42"/>
  <c r="H35" i="42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C25" i="4"/>
  <c r="Z16" i="4"/>
  <c r="Z15" i="4"/>
  <c r="Z12" i="4"/>
  <c r="Z11" i="4"/>
  <c r="Z8" i="4"/>
  <c r="Z7" i="4"/>
  <c r="Z17" i="4"/>
  <c r="Z14" i="4"/>
  <c r="Z13" i="4"/>
  <c r="Z10" i="4"/>
  <c r="Z9" i="4"/>
  <c r="G53" i="42"/>
  <c r="AA53" i="42"/>
  <c r="AA52" i="42"/>
  <c r="AA51" i="42"/>
  <c r="F52" i="42"/>
  <c r="G52" i="42"/>
  <c r="F51" i="42"/>
  <c r="F50" i="42"/>
  <c r="G50" i="42" s="1"/>
  <c r="F49" i="42"/>
  <c r="G49" i="42" s="1"/>
  <c r="F48" i="42"/>
  <c r="G48" i="42" s="1"/>
  <c r="F47" i="42"/>
  <c r="G47" i="42" s="1"/>
  <c r="F44" i="42"/>
  <c r="G44" i="42" s="1"/>
  <c r="F43" i="42"/>
  <c r="G43" i="42" s="1"/>
  <c r="F42" i="42"/>
  <c r="G42" i="42" s="1"/>
  <c r="F41" i="42"/>
  <c r="G41" i="42" s="1"/>
  <c r="F40" i="42"/>
  <c r="G40" i="42" s="1"/>
  <c r="F39" i="42"/>
  <c r="G39" i="42" s="1"/>
  <c r="F38" i="42"/>
  <c r="G38" i="42" s="1"/>
  <c r="F37" i="42"/>
  <c r="G37" i="42" s="1"/>
  <c r="F35" i="42"/>
  <c r="F26" i="42"/>
  <c r="G24" i="1"/>
  <c r="AE8" i="41"/>
  <c r="G8" i="41"/>
  <c r="H8" i="41" s="1"/>
  <c r="J24" i="1" l="1"/>
  <c r="K24" i="1"/>
  <c r="AC52" i="42"/>
  <c r="AG8" i="41"/>
  <c r="H55" i="42"/>
  <c r="C24" i="4" s="1"/>
  <c r="C28" i="4" s="1"/>
  <c r="AC53" i="42"/>
  <c r="G51" i="42"/>
  <c r="AC51" i="42" s="1"/>
  <c r="G55" i="41"/>
  <c r="H55" i="41" s="1"/>
  <c r="AE54" i="41"/>
  <c r="G54" i="41"/>
  <c r="AE53" i="41"/>
  <c r="G53" i="41"/>
  <c r="H53" i="41"/>
  <c r="AG53" i="41" s="1"/>
  <c r="AE52" i="41"/>
  <c r="G52" i="41"/>
  <c r="AE51" i="41"/>
  <c r="G51" i="41"/>
  <c r="H51" i="41" s="1"/>
  <c r="G50" i="41"/>
  <c r="AG57" i="41"/>
  <c r="AE55" i="41"/>
  <c r="AE50" i="41"/>
  <c r="AE49" i="41"/>
  <c r="G49" i="41"/>
  <c r="H49" i="41" s="1"/>
  <c r="AE48" i="41"/>
  <c r="G48" i="41"/>
  <c r="H48" i="41" s="1"/>
  <c r="AE47" i="41"/>
  <c r="G47" i="41"/>
  <c r="H47" i="41" s="1"/>
  <c r="C25" i="3" l="1"/>
  <c r="M24" i="1"/>
  <c r="AG49" i="41"/>
  <c r="AG51" i="41"/>
  <c r="AG48" i="41"/>
  <c r="AG55" i="41"/>
  <c r="H54" i="41"/>
  <c r="AG54" i="41" s="1"/>
  <c r="H52" i="41"/>
  <c r="H50" i="41"/>
  <c r="AG47" i="41"/>
  <c r="G23" i="41"/>
  <c r="G6" i="41"/>
  <c r="T25" i="4"/>
  <c r="F29" i="37"/>
  <c r="E51" i="38"/>
  <c r="K25" i="3" l="1"/>
  <c r="H25" i="3"/>
  <c r="L25" i="3"/>
  <c r="I25" i="3"/>
  <c r="M25" i="3"/>
  <c r="J25" i="3"/>
  <c r="N25" i="3"/>
  <c r="G25" i="3"/>
  <c r="AG52" i="41"/>
  <c r="AG50" i="41"/>
  <c r="H6" i="41"/>
  <c r="T53" i="38"/>
  <c r="E17" i="6" s="1"/>
  <c r="H49" i="38"/>
  <c r="AA50" i="38"/>
  <c r="AA49" i="38"/>
  <c r="F49" i="38"/>
  <c r="G49" i="38" s="1"/>
  <c r="AC49" i="38" s="1"/>
  <c r="AA48" i="38"/>
  <c r="F48" i="38"/>
  <c r="G48" i="38"/>
  <c r="AC48" i="38" s="1"/>
  <c r="H51" i="38"/>
  <c r="H50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F47" i="38"/>
  <c r="F27" i="38"/>
  <c r="F21" i="38"/>
  <c r="F20" i="38"/>
  <c r="AE29" i="37"/>
  <c r="AC29" i="37"/>
  <c r="AB29" i="37"/>
  <c r="AA29" i="37"/>
  <c r="Z29" i="37"/>
  <c r="Y29" i="37"/>
  <c r="T26" i="4" s="1"/>
  <c r="X29" i="37"/>
  <c r="F16" i="6" s="1"/>
  <c r="W29" i="37"/>
  <c r="F15" i="6" s="1"/>
  <c r="V29" i="37"/>
  <c r="F14" i="6" s="1"/>
  <c r="U29" i="37"/>
  <c r="F13" i="6" s="1"/>
  <c r="T29" i="37"/>
  <c r="F12" i="6" s="1"/>
  <c r="S29" i="37"/>
  <c r="F11" i="6" s="1"/>
  <c r="R29" i="37"/>
  <c r="F10" i="6" s="1"/>
  <c r="Q29" i="37"/>
  <c r="F9" i="6" s="1"/>
  <c r="P29" i="37"/>
  <c r="F8" i="6" s="1"/>
  <c r="O29" i="37"/>
  <c r="F7" i="6" s="1"/>
  <c r="N29" i="37"/>
  <c r="T24" i="4" s="1"/>
  <c r="T28" i="4" s="1"/>
  <c r="K29" i="37"/>
  <c r="G10" i="37"/>
  <c r="AQ18" i="4" l="1"/>
  <c r="AH18" i="4"/>
  <c r="F18" i="6"/>
  <c r="G5" i="37"/>
  <c r="H5" i="37" s="1"/>
  <c r="AF5" i="37" s="1"/>
  <c r="E31" i="7"/>
  <c r="R19" i="7"/>
  <c r="E27" i="7"/>
  <c r="E25" i="7"/>
  <c r="R25" i="7" s="1"/>
  <c r="T25" i="7" s="1"/>
  <c r="E49" i="7"/>
  <c r="E36" i="7"/>
  <c r="I25" i="4" l="1"/>
  <c r="G55" i="34"/>
  <c r="H55" i="34" s="1"/>
  <c r="G54" i="34"/>
  <c r="H54" i="34" s="1"/>
  <c r="G53" i="34"/>
  <c r="H53" i="34"/>
  <c r="G52" i="34"/>
  <c r="H52" i="34" s="1"/>
  <c r="G51" i="34"/>
  <c r="H51" i="34" s="1"/>
  <c r="AD53" i="34"/>
  <c r="AD52" i="34"/>
  <c r="AD51" i="34"/>
  <c r="AD50" i="34"/>
  <c r="G50" i="34"/>
  <c r="H50" i="34" s="1"/>
  <c r="AF50" i="34" s="1"/>
  <c r="G49" i="34"/>
  <c r="H49" i="34" s="1"/>
  <c r="G48" i="34"/>
  <c r="H48" i="34" s="1"/>
  <c r="G47" i="34"/>
  <c r="H47" i="34" s="1"/>
  <c r="AD49" i="34"/>
  <c r="AD48" i="34"/>
  <c r="AD47" i="34"/>
  <c r="AD46" i="34"/>
  <c r="G46" i="34"/>
  <c r="H46" i="34" s="1"/>
  <c r="AF46" i="34" s="1"/>
  <c r="AD45" i="34"/>
  <c r="G45" i="34"/>
  <c r="H45" i="34" s="1"/>
  <c r="G44" i="34"/>
  <c r="H44" i="34" s="1"/>
  <c r="AD43" i="34"/>
  <c r="G43" i="34"/>
  <c r="H43" i="34" s="1"/>
  <c r="AD42" i="34"/>
  <c r="G42" i="34"/>
  <c r="H42" i="34" s="1"/>
  <c r="G41" i="34"/>
  <c r="H41" i="34" s="1"/>
  <c r="G40" i="34"/>
  <c r="H40" i="34" s="1"/>
  <c r="AD55" i="34"/>
  <c r="AD54" i="34"/>
  <c r="AD44" i="34"/>
  <c r="AD41" i="34"/>
  <c r="AD40" i="34"/>
  <c r="AD39" i="34"/>
  <c r="G39" i="34"/>
  <c r="H39" i="34" s="1"/>
  <c r="Z75" i="35"/>
  <c r="F75" i="35"/>
  <c r="G75" i="35" s="1"/>
  <c r="F74" i="35"/>
  <c r="G74" i="35" s="1"/>
  <c r="Z76" i="35"/>
  <c r="AB76" i="35" s="1"/>
  <c r="Z74" i="35"/>
  <c r="Z73" i="35"/>
  <c r="Z72" i="35"/>
  <c r="Z71" i="35"/>
  <c r="Z70" i="35"/>
  <c r="Z69" i="35"/>
  <c r="G73" i="35"/>
  <c r="AB73" i="35" s="1"/>
  <c r="F72" i="35"/>
  <c r="G72" i="35" s="1"/>
  <c r="AB72" i="35" s="1"/>
  <c r="F70" i="35"/>
  <c r="G70" i="35" s="1"/>
  <c r="AB70" i="35" s="1"/>
  <c r="F69" i="35"/>
  <c r="G69" i="35"/>
  <c r="AB69" i="35" s="1"/>
  <c r="G71" i="35"/>
  <c r="AB71" i="35" s="1"/>
  <c r="AB75" i="35" l="1"/>
  <c r="AF45" i="34"/>
  <c r="AF55" i="34"/>
  <c r="AF54" i="34"/>
  <c r="AF53" i="34"/>
  <c r="AF52" i="34"/>
  <c r="AF51" i="34"/>
  <c r="AF49" i="34"/>
  <c r="AF44" i="34"/>
  <c r="AF48" i="34"/>
  <c r="AF47" i="34"/>
  <c r="AF39" i="34"/>
  <c r="AF42" i="34"/>
  <c r="AF43" i="34"/>
  <c r="AF41" i="34"/>
  <c r="AF40" i="34"/>
  <c r="AB74" i="35"/>
  <c r="Z68" i="35"/>
  <c r="F68" i="35"/>
  <c r="G68" i="35" s="1"/>
  <c r="AB68" i="35" s="1"/>
  <c r="H66" i="35"/>
  <c r="H67" i="35"/>
  <c r="H65" i="35"/>
  <c r="H64" i="35"/>
  <c r="H63" i="35"/>
  <c r="H62" i="35"/>
  <c r="H60" i="35"/>
  <c r="H59" i="35"/>
  <c r="H55" i="35"/>
  <c r="H54" i="35"/>
  <c r="H51" i="35"/>
  <c r="H46" i="35"/>
  <c r="AA78" i="35"/>
  <c r="Y78" i="35"/>
  <c r="X78" i="35"/>
  <c r="W78" i="35"/>
  <c r="V78" i="35"/>
  <c r="F25" i="4" s="1"/>
  <c r="U78" i="35"/>
  <c r="T78" i="35"/>
  <c r="S78" i="35"/>
  <c r="R78" i="35"/>
  <c r="Q78" i="35"/>
  <c r="P78" i="35"/>
  <c r="O78" i="35"/>
  <c r="F12" i="4" s="1"/>
  <c r="N78" i="35"/>
  <c r="M78" i="35"/>
  <c r="L78" i="35"/>
  <c r="K78" i="35"/>
  <c r="J78" i="35"/>
  <c r="I78" i="35"/>
  <c r="E78" i="35"/>
  <c r="Z67" i="35"/>
  <c r="F67" i="35"/>
  <c r="G67" i="35" s="1"/>
  <c r="Z66" i="35"/>
  <c r="F66" i="35"/>
  <c r="G66" i="35" s="1"/>
  <c r="Z65" i="35"/>
  <c r="F65" i="35"/>
  <c r="G65" i="35" s="1"/>
  <c r="Z64" i="35"/>
  <c r="F64" i="35"/>
  <c r="Z63" i="35"/>
  <c r="F63" i="35"/>
  <c r="AB66" i="35" l="1"/>
  <c r="AB67" i="35"/>
  <c r="AB65" i="35"/>
  <c r="G64" i="35"/>
  <c r="AB64" i="35" s="1"/>
  <c r="G63" i="35"/>
  <c r="AB63" i="35" s="1"/>
  <c r="Z62" i="35"/>
  <c r="F62" i="35"/>
  <c r="G62" i="35" s="1"/>
  <c r="AB62" i="35" s="1"/>
  <c r="Z61" i="35"/>
  <c r="F61" i="35"/>
  <c r="G61" i="35" s="1"/>
  <c r="Z60" i="35"/>
  <c r="F60" i="35"/>
  <c r="G60" i="35" s="1"/>
  <c r="Z59" i="35"/>
  <c r="F59" i="35"/>
  <c r="Z58" i="35"/>
  <c r="F58" i="35"/>
  <c r="G58" i="35"/>
  <c r="AB58" i="35" s="1"/>
  <c r="Z57" i="35"/>
  <c r="F57" i="35"/>
  <c r="G57" i="35"/>
  <c r="Z56" i="35"/>
  <c r="F56" i="35"/>
  <c r="G56" i="35" s="1"/>
  <c r="Z55" i="35"/>
  <c r="F55" i="35"/>
  <c r="G55" i="35" s="1"/>
  <c r="AB55" i="35" s="1"/>
  <c r="Z54" i="35"/>
  <c r="F54" i="35"/>
  <c r="G54" i="35" s="1"/>
  <c r="Z53" i="35"/>
  <c r="F53" i="35"/>
  <c r="G53" i="35" s="1"/>
  <c r="F52" i="35"/>
  <c r="Z50" i="35"/>
  <c r="F50" i="35"/>
  <c r="G50" i="35" s="1"/>
  <c r="Z49" i="35"/>
  <c r="F49" i="35"/>
  <c r="G49" i="35" s="1"/>
  <c r="Z48" i="35"/>
  <c r="F48" i="35"/>
  <c r="G48" i="35" s="1"/>
  <c r="Z47" i="35"/>
  <c r="F47" i="35"/>
  <c r="G47" i="35" s="1"/>
  <c r="Z46" i="35"/>
  <c r="F46" i="35"/>
  <c r="G46" i="35" s="1"/>
  <c r="Z45" i="35"/>
  <c r="F45" i="35"/>
  <c r="G45" i="35" s="1"/>
  <c r="Z44" i="35"/>
  <c r="F44" i="35"/>
  <c r="G44" i="35" s="1"/>
  <c r="Z43" i="35"/>
  <c r="F43" i="35"/>
  <c r="G43" i="35" s="1"/>
  <c r="Z42" i="35"/>
  <c r="F42" i="35"/>
  <c r="G42" i="35" s="1"/>
  <c r="Z41" i="35"/>
  <c r="F41" i="35"/>
  <c r="G41" i="35" s="1"/>
  <c r="Z40" i="35"/>
  <c r="G40" i="35"/>
  <c r="Z39" i="35"/>
  <c r="F39" i="35"/>
  <c r="G39" i="35" s="1"/>
  <c r="Z38" i="35"/>
  <c r="F38" i="35"/>
  <c r="G38" i="35" s="1"/>
  <c r="Z37" i="35"/>
  <c r="F37" i="35"/>
  <c r="G37" i="35" s="1"/>
  <c r="Z36" i="35"/>
  <c r="F36" i="35"/>
  <c r="G36" i="35" s="1"/>
  <c r="AD26" i="34"/>
  <c r="G26" i="34"/>
  <c r="H26" i="34" s="1"/>
  <c r="AD25" i="34"/>
  <c r="G25" i="34"/>
  <c r="H25" i="34" s="1"/>
  <c r="AF25" i="34" l="1"/>
  <c r="AB61" i="35"/>
  <c r="AB57" i="35"/>
  <c r="AB54" i="35"/>
  <c r="AB53" i="35"/>
  <c r="AB56" i="35"/>
  <c r="AB60" i="35"/>
  <c r="G59" i="35"/>
  <c r="AB44" i="35"/>
  <c r="AB39" i="35"/>
  <c r="AB48" i="35"/>
  <c r="AB50" i="35"/>
  <c r="AB37" i="35"/>
  <c r="AB43" i="35"/>
  <c r="AB41" i="35"/>
  <c r="AB45" i="35"/>
  <c r="AB36" i="35"/>
  <c r="AB38" i="35"/>
  <c r="AB40" i="35"/>
  <c r="AB42" i="35"/>
  <c r="AB47" i="35"/>
  <c r="AB49" i="35"/>
  <c r="AB46" i="35"/>
  <c r="G30" i="34"/>
  <c r="G24" i="34"/>
  <c r="AB59" i="35" l="1"/>
  <c r="AE106" i="34"/>
  <c r="AC106" i="34"/>
  <c r="AB106" i="34"/>
  <c r="AA106" i="34"/>
  <c r="Z106" i="34"/>
  <c r="Y106" i="34"/>
  <c r="X106" i="34"/>
  <c r="W106" i="34"/>
  <c r="V106" i="34"/>
  <c r="U106" i="34"/>
  <c r="T106" i="34"/>
  <c r="S106" i="34"/>
  <c r="R106" i="34"/>
  <c r="Q106" i="34"/>
  <c r="P106" i="34"/>
  <c r="O106" i="34"/>
  <c r="N106" i="34"/>
  <c r="M106" i="34"/>
  <c r="L106" i="34"/>
  <c r="K106" i="34"/>
  <c r="J106" i="34"/>
  <c r="I106" i="34"/>
  <c r="F106" i="34"/>
  <c r="H13" i="34"/>
  <c r="D16" i="6" l="1"/>
  <c r="I16" i="4" s="1"/>
  <c r="D15" i="6"/>
  <c r="I15" i="4" s="1"/>
  <c r="D14" i="6"/>
  <c r="D13" i="6"/>
  <c r="I13" i="4" s="1"/>
  <c r="D12" i="6"/>
  <c r="I12" i="4" s="1"/>
  <c r="D11" i="6"/>
  <c r="I11" i="4" s="1"/>
  <c r="D10" i="6"/>
  <c r="D9" i="6"/>
  <c r="AA14" i="42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35" i="38"/>
  <c r="AA36" i="38"/>
  <c r="AA37" i="38"/>
  <c r="AA38" i="38"/>
  <c r="AA39" i="38"/>
  <c r="AA40" i="38"/>
  <c r="AA41" i="38"/>
  <c r="AA42" i="38"/>
  <c r="AA43" i="38"/>
  <c r="AA44" i="38"/>
  <c r="AA45" i="38"/>
  <c r="AA46" i="38"/>
  <c r="AA47" i="38"/>
  <c r="AA51" i="38"/>
  <c r="Z53" i="38"/>
  <c r="DD9" i="4"/>
  <c r="DD10" i="4"/>
  <c r="DD11" i="4"/>
  <c r="DD12" i="4"/>
  <c r="DD13" i="4"/>
  <c r="DD14" i="4"/>
  <c r="DD15" i="4"/>
  <c r="DD16" i="4"/>
  <c r="DD17" i="4"/>
  <c r="DD8" i="4"/>
  <c r="DD7" i="4"/>
  <c r="DC9" i="4"/>
  <c r="DC10" i="4"/>
  <c r="DC11" i="4"/>
  <c r="DC12" i="4"/>
  <c r="DC13" i="4"/>
  <c r="DC14" i="4"/>
  <c r="DC15" i="4"/>
  <c r="DC16" i="4"/>
  <c r="DC17" i="4"/>
  <c r="DC8" i="4"/>
  <c r="DC7" i="4"/>
  <c r="CW17" i="4"/>
  <c r="CW9" i="4"/>
  <c r="CW10" i="4"/>
  <c r="CW11" i="4"/>
  <c r="CW12" i="4"/>
  <c r="CW13" i="4"/>
  <c r="CW14" i="4"/>
  <c r="CW15" i="4"/>
  <c r="CW16" i="4"/>
  <c r="CW8" i="4"/>
  <c r="CW7" i="4"/>
  <c r="CT9" i="4"/>
  <c r="CT10" i="4"/>
  <c r="CT11" i="4"/>
  <c r="CT12" i="4"/>
  <c r="CT13" i="4"/>
  <c r="CT14" i="4"/>
  <c r="CT15" i="4"/>
  <c r="CT16" i="4"/>
  <c r="CT17" i="4"/>
  <c r="CT8" i="4"/>
  <c r="CT7" i="4"/>
  <c r="CN9" i="4"/>
  <c r="CN10" i="4"/>
  <c r="CN11" i="4"/>
  <c r="CN12" i="4"/>
  <c r="CN13" i="4"/>
  <c r="CN14" i="4"/>
  <c r="CN15" i="4"/>
  <c r="CN16" i="4"/>
  <c r="CN17" i="4"/>
  <c r="CN8" i="4"/>
  <c r="CN7" i="4"/>
  <c r="CK9" i="4"/>
  <c r="CK10" i="4"/>
  <c r="CK11" i="4"/>
  <c r="CK12" i="4"/>
  <c r="CK13" i="4"/>
  <c r="CK14" i="4"/>
  <c r="CK15" i="4"/>
  <c r="CK16" i="4"/>
  <c r="CK17" i="4"/>
  <c r="CK8" i="4"/>
  <c r="CK7" i="4"/>
  <c r="CE9" i="4"/>
  <c r="CE10" i="4"/>
  <c r="CE11" i="4"/>
  <c r="CE12" i="4"/>
  <c r="CE13" i="4"/>
  <c r="CE14" i="4"/>
  <c r="CE15" i="4"/>
  <c r="CE16" i="4"/>
  <c r="CE17" i="4"/>
  <c r="CE8" i="4"/>
  <c r="CE7" i="4"/>
  <c r="CB9" i="4"/>
  <c r="CB10" i="4"/>
  <c r="CB11" i="4"/>
  <c r="CB12" i="4"/>
  <c r="CB13" i="4"/>
  <c r="CB14" i="4"/>
  <c r="CB15" i="4"/>
  <c r="CB16" i="4"/>
  <c r="CB17" i="4"/>
  <c r="CB8" i="4"/>
  <c r="CB7" i="4"/>
  <c r="BV17" i="4"/>
  <c r="BV9" i="4"/>
  <c r="BV10" i="4"/>
  <c r="BV11" i="4"/>
  <c r="BV12" i="4"/>
  <c r="BV13" i="4"/>
  <c r="BV14" i="4"/>
  <c r="BV15" i="4"/>
  <c r="BV16" i="4"/>
  <c r="BV8" i="4"/>
  <c r="BV7" i="4"/>
  <c r="BS9" i="4"/>
  <c r="BS10" i="4"/>
  <c r="BS11" i="4"/>
  <c r="BS12" i="4"/>
  <c r="BS13" i="4"/>
  <c r="BS14" i="4"/>
  <c r="BS15" i="4"/>
  <c r="BS16" i="4"/>
  <c r="BS17" i="4"/>
  <c r="BS8" i="4"/>
  <c r="BS7" i="4"/>
  <c r="BM9" i="4"/>
  <c r="BM10" i="4"/>
  <c r="BM11" i="4"/>
  <c r="BM12" i="4"/>
  <c r="BM13" i="4"/>
  <c r="BM14" i="4"/>
  <c r="BM15" i="4"/>
  <c r="BM16" i="4"/>
  <c r="BM17" i="4"/>
  <c r="BM8" i="4"/>
  <c r="BM7" i="4"/>
  <c r="BJ9" i="4"/>
  <c r="BJ10" i="4"/>
  <c r="BJ11" i="4"/>
  <c r="BJ12" i="4"/>
  <c r="BJ13" i="4"/>
  <c r="BJ14" i="4"/>
  <c r="BJ15" i="4"/>
  <c r="BJ16" i="4"/>
  <c r="BJ17" i="4"/>
  <c r="BJ8" i="4"/>
  <c r="BJ7" i="4"/>
  <c r="BD9" i="4"/>
  <c r="BD10" i="4"/>
  <c r="BD11" i="4"/>
  <c r="BD12" i="4"/>
  <c r="BD13" i="4"/>
  <c r="BD14" i="4"/>
  <c r="BD15" i="4"/>
  <c r="BD16" i="4"/>
  <c r="BD17" i="4"/>
  <c r="BD8" i="4"/>
  <c r="BD7" i="4"/>
  <c r="BA9" i="4"/>
  <c r="BA10" i="4"/>
  <c r="BA11" i="4"/>
  <c r="BA12" i="4"/>
  <c r="BA13" i="4"/>
  <c r="BA14" i="4"/>
  <c r="BA15" i="4"/>
  <c r="BA16" i="4"/>
  <c r="BA17" i="4"/>
  <c r="BA8" i="4"/>
  <c r="BA7" i="4"/>
  <c r="AU9" i="4"/>
  <c r="AU10" i="4"/>
  <c r="AU11" i="4"/>
  <c r="AU12" i="4"/>
  <c r="AU13" i="4"/>
  <c r="AU14" i="4"/>
  <c r="AU15" i="4"/>
  <c r="AU16" i="4"/>
  <c r="AU17" i="4"/>
  <c r="AU8" i="4"/>
  <c r="AU7" i="4"/>
  <c r="AR9" i="4"/>
  <c r="AR10" i="4"/>
  <c r="AR11" i="4"/>
  <c r="AR12" i="4"/>
  <c r="AR13" i="4"/>
  <c r="AR14" i="4"/>
  <c r="AR15" i="4"/>
  <c r="AR16" i="4"/>
  <c r="AR17" i="4"/>
  <c r="AR8" i="4"/>
  <c r="AR7" i="4"/>
  <c r="AL9" i="4"/>
  <c r="AL10" i="4"/>
  <c r="AL11" i="4"/>
  <c r="AL12" i="4"/>
  <c r="AL13" i="4"/>
  <c r="AL14" i="4"/>
  <c r="AL15" i="4"/>
  <c r="AL16" i="4"/>
  <c r="AL17" i="4"/>
  <c r="AL8" i="4"/>
  <c r="AL7" i="4"/>
  <c r="AI17" i="4"/>
  <c r="AI9" i="4"/>
  <c r="AI10" i="4"/>
  <c r="AI11" i="4"/>
  <c r="AI12" i="4"/>
  <c r="AI13" i="4"/>
  <c r="AI14" i="4"/>
  <c r="AI15" i="4"/>
  <c r="AI16" i="4"/>
  <c r="AI8" i="4"/>
  <c r="AI7" i="4"/>
  <c r="AC9" i="4"/>
  <c r="AC10" i="4"/>
  <c r="AC11" i="4"/>
  <c r="AC12" i="4"/>
  <c r="AC13" i="4"/>
  <c r="AC14" i="4"/>
  <c r="AC15" i="4"/>
  <c r="AC16" i="4"/>
  <c r="AC17" i="4"/>
  <c r="AC8" i="4"/>
  <c r="AC7" i="4"/>
  <c r="Q17" i="4"/>
  <c r="T17" i="4"/>
  <c r="T11" i="4"/>
  <c r="T12" i="4"/>
  <c r="T13" i="4"/>
  <c r="T14" i="4"/>
  <c r="T15" i="4"/>
  <c r="T16" i="4"/>
  <c r="T10" i="4"/>
  <c r="T9" i="4"/>
  <c r="T8" i="4"/>
  <c r="T7" i="4"/>
  <c r="J17" i="4"/>
  <c r="C16" i="7"/>
  <c r="Y26" i="1"/>
  <c r="D23" i="1"/>
  <c r="G23" i="1" s="1"/>
  <c r="DJ17" i="4" l="1"/>
  <c r="DS17" i="4" s="1"/>
  <c r="AA53" i="38"/>
  <c r="DJ15" i="4"/>
  <c r="DS15" i="4" s="1"/>
  <c r="DJ12" i="4"/>
  <c r="DS12" i="4" s="1"/>
  <c r="DJ16" i="4"/>
  <c r="DS16" i="4" s="1"/>
  <c r="DJ13" i="4"/>
  <c r="DS13" i="4" s="1"/>
  <c r="DI17" i="4"/>
  <c r="DJ11" i="4"/>
  <c r="DS11" i="4" s="1"/>
  <c r="K23" i="1"/>
  <c r="DR17" i="4" s="1"/>
  <c r="DT17" i="4" s="1"/>
  <c r="J23" i="1"/>
  <c r="C24" i="3" s="1"/>
  <c r="I14" i="4"/>
  <c r="DJ14" i="4" s="1"/>
  <c r="DS14" i="4" s="1"/>
  <c r="I10" i="4"/>
  <c r="DJ10" i="4" s="1"/>
  <c r="I9" i="4"/>
  <c r="DJ9" i="4" s="1"/>
  <c r="I24" i="4"/>
  <c r="I28" i="4" s="1"/>
  <c r="C14" i="6"/>
  <c r="F14" i="4" s="1"/>
  <c r="C13" i="6"/>
  <c r="F13" i="4" s="1"/>
  <c r="C12" i="6"/>
  <c r="C11" i="6"/>
  <c r="F11" i="4" s="1"/>
  <c r="C10" i="6"/>
  <c r="F10" i="4" s="1"/>
  <c r="AB50" i="63"/>
  <c r="Z50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I52" i="63" s="1"/>
  <c r="H50" i="63"/>
  <c r="DC18" i="4" s="1"/>
  <c r="E50" i="63"/>
  <c r="AA48" i="63"/>
  <c r="AC48" i="63" s="1"/>
  <c r="AA47" i="63"/>
  <c r="G47" i="63"/>
  <c r="AA46" i="63"/>
  <c r="G46" i="63"/>
  <c r="AA45" i="63"/>
  <c r="G45" i="63"/>
  <c r="AA44" i="63"/>
  <c r="G44" i="63"/>
  <c r="AA43" i="63"/>
  <c r="G43" i="63"/>
  <c r="AA42" i="63"/>
  <c r="G42" i="63"/>
  <c r="AA41" i="63"/>
  <c r="G41" i="63"/>
  <c r="AA40" i="63"/>
  <c r="G40" i="63"/>
  <c r="F39" i="63"/>
  <c r="G39" i="63" s="1"/>
  <c r="AA38" i="63"/>
  <c r="F38" i="63"/>
  <c r="G38" i="63" s="1"/>
  <c r="AA37" i="63"/>
  <c r="G37" i="63"/>
  <c r="AA36" i="63"/>
  <c r="G36" i="63"/>
  <c r="AA35" i="63"/>
  <c r="G35" i="63"/>
  <c r="AA34" i="63"/>
  <c r="G34" i="63"/>
  <c r="AA33" i="63"/>
  <c r="G33" i="63"/>
  <c r="AA32" i="63"/>
  <c r="G32" i="63"/>
  <c r="AA31" i="63"/>
  <c r="G31" i="63"/>
  <c r="AA30" i="63"/>
  <c r="F30" i="63"/>
  <c r="G30" i="63" s="1"/>
  <c r="AA29" i="63"/>
  <c r="F29" i="63"/>
  <c r="G29" i="63" s="1"/>
  <c r="AA28" i="63"/>
  <c r="F28" i="63"/>
  <c r="G28" i="63" s="1"/>
  <c r="AA27" i="63"/>
  <c r="F27" i="63"/>
  <c r="G27" i="63" s="1"/>
  <c r="AC27" i="63" s="1"/>
  <c r="AA26" i="63"/>
  <c r="F26" i="63"/>
  <c r="G26" i="63" s="1"/>
  <c r="AA25" i="63"/>
  <c r="F25" i="63"/>
  <c r="G25" i="63" s="1"/>
  <c r="AA24" i="63"/>
  <c r="F24" i="63"/>
  <c r="G24" i="63" s="1"/>
  <c r="AA23" i="63"/>
  <c r="F23" i="63"/>
  <c r="G23" i="63" s="1"/>
  <c r="AA22" i="63"/>
  <c r="F22" i="63"/>
  <c r="G22" i="63" s="1"/>
  <c r="AA21" i="63"/>
  <c r="F21" i="63"/>
  <c r="G21" i="63" s="1"/>
  <c r="AA20" i="63"/>
  <c r="F20" i="63"/>
  <c r="G20" i="63" s="1"/>
  <c r="AA19" i="63"/>
  <c r="F19" i="63"/>
  <c r="G19" i="63" s="1"/>
  <c r="AC19" i="63" s="1"/>
  <c r="AA18" i="63"/>
  <c r="F18" i="63"/>
  <c r="G18" i="63" s="1"/>
  <c r="AA17" i="63"/>
  <c r="F17" i="63"/>
  <c r="G17" i="63" s="1"/>
  <c r="AA16" i="63"/>
  <c r="F16" i="63"/>
  <c r="G16" i="63" s="1"/>
  <c r="AA15" i="63"/>
  <c r="F15" i="63"/>
  <c r="G15" i="63" s="1"/>
  <c r="AA14" i="63"/>
  <c r="F14" i="63"/>
  <c r="G14" i="63" s="1"/>
  <c r="AA13" i="63"/>
  <c r="F13" i="63"/>
  <c r="G13" i="63" s="1"/>
  <c r="AA12" i="63"/>
  <c r="F12" i="63"/>
  <c r="G12" i="63" s="1"/>
  <c r="AA11" i="63"/>
  <c r="F11" i="63"/>
  <c r="G11" i="63" s="1"/>
  <c r="AA10" i="63"/>
  <c r="F10" i="63"/>
  <c r="G10" i="63" s="1"/>
  <c r="AC10" i="63" s="1"/>
  <c r="AA9" i="63"/>
  <c r="F9" i="63"/>
  <c r="G9" i="63" s="1"/>
  <c r="AA8" i="63"/>
  <c r="F8" i="63"/>
  <c r="G8" i="63" s="1"/>
  <c r="H51" i="54"/>
  <c r="CB18" i="4" s="1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H50" i="49"/>
  <c r="BJ18" i="4" s="1"/>
  <c r="I50" i="49"/>
  <c r="J50" i="49"/>
  <c r="K50" i="49"/>
  <c r="L50" i="49"/>
  <c r="M50" i="49"/>
  <c r="N50" i="49"/>
  <c r="O50" i="49"/>
  <c r="P50" i="49"/>
  <c r="Q50" i="49"/>
  <c r="R50" i="49"/>
  <c r="S50" i="49"/>
  <c r="T50" i="49"/>
  <c r="U50" i="49"/>
  <c r="V50" i="49"/>
  <c r="W50" i="49"/>
  <c r="X50" i="49"/>
  <c r="Y50" i="49"/>
  <c r="Z50" i="49"/>
  <c r="G6" i="46"/>
  <c r="H6" i="46" s="1"/>
  <c r="G7" i="46"/>
  <c r="H7" i="46" s="1"/>
  <c r="G8" i="46"/>
  <c r="H8" i="46" s="1"/>
  <c r="G9" i="46"/>
  <c r="H9" i="46" s="1"/>
  <c r="G10" i="46"/>
  <c r="H10" i="46" s="1"/>
  <c r="G11" i="46"/>
  <c r="H11" i="46" s="1"/>
  <c r="G12" i="46"/>
  <c r="H12" i="46" s="1"/>
  <c r="G13" i="46"/>
  <c r="H13" i="46" s="1"/>
  <c r="G14" i="46"/>
  <c r="H14" i="46" s="1"/>
  <c r="G15" i="46"/>
  <c r="H15" i="46" s="1"/>
  <c r="G16" i="46"/>
  <c r="H16" i="46" s="1"/>
  <c r="G17" i="46"/>
  <c r="H17" i="46" s="1"/>
  <c r="G18" i="46"/>
  <c r="H18" i="46" s="1"/>
  <c r="G19" i="46"/>
  <c r="H19" i="46" s="1"/>
  <c r="G20" i="46"/>
  <c r="H20" i="46" s="1"/>
  <c r="G21" i="46"/>
  <c r="H21" i="46" s="1"/>
  <c r="G22" i="46"/>
  <c r="H22" i="46" s="1"/>
  <c r="G23" i="46"/>
  <c r="H23" i="46" s="1"/>
  <c r="G24" i="46"/>
  <c r="H24" i="46" s="1"/>
  <c r="G25" i="46"/>
  <c r="H25" i="46" s="1"/>
  <c r="G26" i="46"/>
  <c r="H26" i="46" s="1"/>
  <c r="G27" i="46"/>
  <c r="H27" i="46" s="1"/>
  <c r="G28" i="46"/>
  <c r="H28" i="46" s="1"/>
  <c r="G29" i="46"/>
  <c r="H29" i="46" s="1"/>
  <c r="G30" i="46"/>
  <c r="H30" i="46" s="1"/>
  <c r="G31" i="46"/>
  <c r="H31" i="46" s="1"/>
  <c r="G32" i="46"/>
  <c r="H32" i="46" s="1"/>
  <c r="G33" i="46"/>
  <c r="H33" i="46" s="1"/>
  <c r="G34" i="46"/>
  <c r="H34" i="46" s="1"/>
  <c r="G35" i="46"/>
  <c r="H35" i="46" s="1"/>
  <c r="G36" i="46"/>
  <c r="H36" i="46" s="1"/>
  <c r="G37" i="46"/>
  <c r="H37" i="46" s="1"/>
  <c r="H38" i="46"/>
  <c r="G8" i="34"/>
  <c r="G7" i="34"/>
  <c r="AC11" i="63" l="1"/>
  <c r="AC22" i="63"/>
  <c r="AC24" i="63"/>
  <c r="AC26" i="63"/>
  <c r="AC30" i="63"/>
  <c r="AC32" i="63"/>
  <c r="AC36" i="63"/>
  <c r="AC38" i="63"/>
  <c r="AC14" i="63"/>
  <c r="AC16" i="63"/>
  <c r="AC18" i="63"/>
  <c r="AC43" i="63"/>
  <c r="M23" i="1"/>
  <c r="DL17" i="4"/>
  <c r="D8" i="6"/>
  <c r="I8" i="4" s="1"/>
  <c r="DJ8" i="4" s="1"/>
  <c r="D7" i="6"/>
  <c r="AC13" i="63"/>
  <c r="AC29" i="63"/>
  <c r="AC21" i="63"/>
  <c r="AC35" i="63"/>
  <c r="AC40" i="63"/>
  <c r="AC42" i="63"/>
  <c r="AC44" i="63"/>
  <c r="AC15" i="63"/>
  <c r="AC23" i="63"/>
  <c r="K24" i="3"/>
  <c r="G24" i="3"/>
  <c r="L24" i="3"/>
  <c r="H24" i="3"/>
  <c r="C17" i="4"/>
  <c r="DM17" i="4" s="1"/>
  <c r="M24" i="3"/>
  <c r="I24" i="3"/>
  <c r="E24" i="3"/>
  <c r="N24" i="3"/>
  <c r="J24" i="3"/>
  <c r="F24" i="3"/>
  <c r="AC9" i="63"/>
  <c r="AC12" i="63"/>
  <c r="AC17" i="63"/>
  <c r="AC20" i="63"/>
  <c r="AC25" i="63"/>
  <c r="AC28" i="63"/>
  <c r="AC37" i="63"/>
  <c r="AA50" i="63"/>
  <c r="AC31" i="63"/>
  <c r="AC33" i="63"/>
  <c r="AC46" i="63"/>
  <c r="G50" i="63"/>
  <c r="AC41" i="63"/>
  <c r="F50" i="63"/>
  <c r="AC34" i="63"/>
  <c r="AC45" i="63"/>
  <c r="AC47" i="63"/>
  <c r="AC8" i="63"/>
  <c r="H52" i="63"/>
  <c r="G6" i="34"/>
  <c r="AD5" i="34"/>
  <c r="G5" i="34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F23" i="35"/>
  <c r="F18" i="35"/>
  <c r="Z7" i="35"/>
  <c r="F7" i="35"/>
  <c r="I7" i="4" l="1"/>
  <c r="DJ7" i="4" s="1"/>
  <c r="D18" i="6"/>
  <c r="H78" i="35"/>
  <c r="F24" i="4" s="1"/>
  <c r="F28" i="4" s="1"/>
  <c r="H5" i="34"/>
  <c r="AZ17" i="4"/>
  <c r="BE17" i="4" s="1"/>
  <c r="CA17" i="4"/>
  <c r="CF17" i="4" s="1"/>
  <c r="BR17" i="4"/>
  <c r="BW17" i="4" s="1"/>
  <c r="AH17" i="4"/>
  <c r="AM17" i="4" s="1"/>
  <c r="CJ17" i="4"/>
  <c r="CO17" i="4" s="1"/>
  <c r="BI17" i="4"/>
  <c r="BN17" i="4" s="1"/>
  <c r="CS17" i="4"/>
  <c r="CX17" i="4" s="1"/>
  <c r="AQ17" i="4"/>
  <c r="AV17" i="4" s="1"/>
  <c r="Y17" i="4"/>
  <c r="AD17" i="4" s="1"/>
  <c r="P17" i="4"/>
  <c r="G7" i="35"/>
  <c r="AC50" i="63"/>
  <c r="DN17" i="4" l="1"/>
  <c r="U17" i="4"/>
  <c r="AF5" i="34"/>
  <c r="AB7" i="35"/>
  <c r="E22" i="1"/>
  <c r="G22" i="1"/>
  <c r="J22" i="1" s="1"/>
  <c r="E21" i="1"/>
  <c r="G21" i="1"/>
  <c r="K21" i="1" s="1"/>
  <c r="DR15" i="4" s="1"/>
  <c r="DT15" i="4" s="1"/>
  <c r="J21" i="1"/>
  <c r="C22" i="3" s="1"/>
  <c r="E19" i="1"/>
  <c r="E18" i="1"/>
  <c r="E17" i="1"/>
  <c r="E16" i="1"/>
  <c r="E15" i="1"/>
  <c r="E14" i="1"/>
  <c r="G18" i="1"/>
  <c r="J18" i="1" s="1"/>
  <c r="K18" i="1" l="1"/>
  <c r="DR12" i="4" s="1"/>
  <c r="DT12" i="4" s="1"/>
  <c r="DO17" i="4"/>
  <c r="DP17" i="4"/>
  <c r="M22" i="3"/>
  <c r="I22" i="3"/>
  <c r="E22" i="3"/>
  <c r="N22" i="3"/>
  <c r="J22" i="3"/>
  <c r="BI15" i="4" s="1"/>
  <c r="BN15" i="4" s="1"/>
  <c r="F22" i="3"/>
  <c r="K22" i="3"/>
  <c r="BR15" i="4" s="1"/>
  <c r="BW15" i="4" s="1"/>
  <c r="G22" i="3"/>
  <c r="L22" i="3"/>
  <c r="H22" i="3"/>
  <c r="D22" i="3"/>
  <c r="C15" i="4"/>
  <c r="M22" i="1"/>
  <c r="C23" i="3"/>
  <c r="M18" i="1"/>
  <c r="C19" i="3"/>
  <c r="M21" i="1"/>
  <c r="K22" i="1"/>
  <c r="DR16" i="4" s="1"/>
  <c r="DT16" i="4" s="1"/>
  <c r="K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DD18" i="4" s="1"/>
  <c r="F24" i="62"/>
  <c r="N23" i="3" l="1"/>
  <c r="M23" i="3"/>
  <c r="L23" i="3"/>
  <c r="K23" i="3"/>
  <c r="J23" i="3"/>
  <c r="I23" i="3"/>
  <c r="H23" i="3"/>
  <c r="G23" i="3"/>
  <c r="L19" i="3"/>
  <c r="H19" i="3"/>
  <c r="D19" i="3"/>
  <c r="M19" i="3"/>
  <c r="I19" i="3"/>
  <c r="E19" i="3"/>
  <c r="N19" i="3"/>
  <c r="J19" i="3"/>
  <c r="BI12" i="4" s="1"/>
  <c r="F19" i="3"/>
  <c r="K19" i="3"/>
  <c r="G19" i="3"/>
  <c r="D23" i="3"/>
  <c r="E23" i="3"/>
  <c r="F23" i="3"/>
  <c r="CS15" i="4"/>
  <c r="CX15" i="4" s="1"/>
  <c r="CJ15" i="4"/>
  <c r="CO15" i="4" s="1"/>
  <c r="AZ15" i="4"/>
  <c r="BE15" i="4" s="1"/>
  <c r="CA15" i="4"/>
  <c r="CF15" i="4" s="1"/>
  <c r="Y15" i="4"/>
  <c r="AD15" i="4" s="1"/>
  <c r="AQ15" i="4"/>
  <c r="AV15" i="4" s="1"/>
  <c r="E15" i="4"/>
  <c r="P15" i="4"/>
  <c r="AH15" i="4"/>
  <c r="AM15" i="4" s="1"/>
  <c r="BR16" i="4"/>
  <c r="BW16" i="4" s="1"/>
  <c r="C16" i="4"/>
  <c r="AH16" i="4" s="1"/>
  <c r="BI16" i="4"/>
  <c r="BN16" i="4" s="1"/>
  <c r="BR12" i="4"/>
  <c r="C12" i="4"/>
  <c r="AE5" i="62"/>
  <c r="G5" i="62"/>
  <c r="H5" i="62" s="1"/>
  <c r="AF24" i="62"/>
  <c r="H22" i="62"/>
  <c r="AG22" i="62" s="1"/>
  <c r="AE21" i="62"/>
  <c r="G21" i="62"/>
  <c r="H21" i="62" s="1"/>
  <c r="AE20" i="62"/>
  <c r="G20" i="62"/>
  <c r="H20" i="62" s="1"/>
  <c r="AE19" i="62"/>
  <c r="G19" i="62"/>
  <c r="H19" i="62" s="1"/>
  <c r="AE18" i="62"/>
  <c r="G18" i="62"/>
  <c r="H18" i="62" s="1"/>
  <c r="AE17" i="62"/>
  <c r="G17" i="62"/>
  <c r="H17" i="62" s="1"/>
  <c r="AE16" i="62"/>
  <c r="G16" i="62"/>
  <c r="H16" i="62" s="1"/>
  <c r="AE15" i="62"/>
  <c r="AE14" i="62"/>
  <c r="AE13" i="62"/>
  <c r="G13" i="62"/>
  <c r="H13" i="62" s="1"/>
  <c r="AE12" i="62"/>
  <c r="G12" i="62"/>
  <c r="H12" i="62" s="1"/>
  <c r="AE11" i="62"/>
  <c r="G11" i="62"/>
  <c r="H11" i="62" s="1"/>
  <c r="AE10" i="62"/>
  <c r="G10" i="62"/>
  <c r="H10" i="62" s="1"/>
  <c r="AE9" i="62"/>
  <c r="G9" i="62"/>
  <c r="H9" i="62" s="1"/>
  <c r="AE8" i="62"/>
  <c r="G8" i="62"/>
  <c r="H8" i="62" s="1"/>
  <c r="AE7" i="62"/>
  <c r="G7" i="62"/>
  <c r="H7" i="62" s="1"/>
  <c r="AE6" i="62"/>
  <c r="G6" i="62"/>
  <c r="H6" i="62" s="1"/>
  <c r="AE21" i="61"/>
  <c r="AE20" i="61"/>
  <c r="AE19" i="61"/>
  <c r="AE18" i="61"/>
  <c r="AE17" i="61"/>
  <c r="AE16" i="61"/>
  <c r="AE15" i="61"/>
  <c r="AE14" i="61"/>
  <c r="CU12" i="4"/>
  <c r="CV12" i="4" s="1"/>
  <c r="AE13" i="61"/>
  <c r="AF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CW18" i="4" s="1"/>
  <c r="K24" i="61"/>
  <c r="F24" i="61"/>
  <c r="H22" i="61"/>
  <c r="AG22" i="61" s="1"/>
  <c r="G21" i="61"/>
  <c r="H21" i="61" s="1"/>
  <c r="G20" i="61"/>
  <c r="H20" i="61" s="1"/>
  <c r="G19" i="61"/>
  <c r="H19" i="61" s="1"/>
  <c r="AG19" i="61" s="1"/>
  <c r="G18" i="61"/>
  <c r="H18" i="61" s="1"/>
  <c r="G17" i="61"/>
  <c r="H17" i="61" s="1"/>
  <c r="G16" i="61"/>
  <c r="H16" i="61" s="1"/>
  <c r="G15" i="61"/>
  <c r="H15" i="61" s="1"/>
  <c r="G14" i="61"/>
  <c r="H14" i="61" s="1"/>
  <c r="G13" i="61"/>
  <c r="H13" i="61" s="1"/>
  <c r="AE12" i="61"/>
  <c r="G12" i="61"/>
  <c r="H12" i="61" s="1"/>
  <c r="AE11" i="61"/>
  <c r="G11" i="61"/>
  <c r="H11" i="61" s="1"/>
  <c r="AE10" i="61"/>
  <c r="G10" i="61"/>
  <c r="H10" i="61" s="1"/>
  <c r="AE9" i="61"/>
  <c r="G9" i="61"/>
  <c r="H9" i="61" s="1"/>
  <c r="AE8" i="61"/>
  <c r="G8" i="61"/>
  <c r="H8" i="61" s="1"/>
  <c r="AE7" i="61"/>
  <c r="G7" i="61"/>
  <c r="H7" i="61" s="1"/>
  <c r="AE6" i="61"/>
  <c r="G6" i="61"/>
  <c r="H6" i="61" s="1"/>
  <c r="AB50" i="60"/>
  <c r="Z50" i="60"/>
  <c r="Y50" i="60"/>
  <c r="X50" i="60"/>
  <c r="W50" i="60"/>
  <c r="V50" i="60"/>
  <c r="U50" i="60"/>
  <c r="T50" i="60"/>
  <c r="S50" i="60"/>
  <c r="R50" i="60"/>
  <c r="Q50" i="60"/>
  <c r="P50" i="60"/>
  <c r="O50" i="60"/>
  <c r="N50" i="60"/>
  <c r="M50" i="60"/>
  <c r="L50" i="60"/>
  <c r="K50" i="60"/>
  <c r="J50" i="60"/>
  <c r="I50" i="60"/>
  <c r="E50" i="60"/>
  <c r="AA48" i="60"/>
  <c r="AC48" i="60" s="1"/>
  <c r="AA47" i="60"/>
  <c r="G47" i="60"/>
  <c r="AA46" i="60"/>
  <c r="G46" i="60"/>
  <c r="AA45" i="60"/>
  <c r="G45" i="60"/>
  <c r="AA44" i="60"/>
  <c r="G44" i="60"/>
  <c r="AA43" i="60"/>
  <c r="G43" i="60"/>
  <c r="AA42" i="60"/>
  <c r="G42" i="60"/>
  <c r="AA41" i="60"/>
  <c r="G41" i="60"/>
  <c r="AA40" i="60"/>
  <c r="G40" i="60"/>
  <c r="F39" i="60"/>
  <c r="G39" i="60" s="1"/>
  <c r="AA38" i="60"/>
  <c r="F38" i="60"/>
  <c r="G38" i="60" s="1"/>
  <c r="AA37" i="60"/>
  <c r="G37" i="60"/>
  <c r="AA36" i="60"/>
  <c r="G36" i="60"/>
  <c r="AA35" i="60"/>
  <c r="G35" i="60"/>
  <c r="AA34" i="60"/>
  <c r="G34" i="60"/>
  <c r="AA33" i="60"/>
  <c r="G33" i="60"/>
  <c r="AA32" i="60"/>
  <c r="G32" i="60"/>
  <c r="AA31" i="60"/>
  <c r="G31" i="60"/>
  <c r="AA30" i="60"/>
  <c r="F30" i="60"/>
  <c r="G30" i="60" s="1"/>
  <c r="AA29" i="60"/>
  <c r="F29" i="60"/>
  <c r="G29" i="60" s="1"/>
  <c r="AA28" i="60"/>
  <c r="F28" i="60"/>
  <c r="G28" i="60" s="1"/>
  <c r="AA27" i="60"/>
  <c r="F27" i="60"/>
  <c r="G27" i="60" s="1"/>
  <c r="AA26" i="60"/>
  <c r="F26" i="60"/>
  <c r="G26" i="60" s="1"/>
  <c r="AA25" i="60"/>
  <c r="F25" i="60"/>
  <c r="G25" i="60" s="1"/>
  <c r="AA24" i="60"/>
  <c r="F24" i="60"/>
  <c r="G24" i="60" s="1"/>
  <c r="AA23" i="60"/>
  <c r="F23" i="60"/>
  <c r="G23" i="60" s="1"/>
  <c r="AA22" i="60"/>
  <c r="F22" i="60"/>
  <c r="G22" i="60" s="1"/>
  <c r="AA21" i="60"/>
  <c r="F21" i="60"/>
  <c r="G21" i="60" s="1"/>
  <c r="AA20" i="60"/>
  <c r="F20" i="60"/>
  <c r="G20" i="60" s="1"/>
  <c r="AA19" i="60"/>
  <c r="F19" i="60"/>
  <c r="G19" i="60" s="1"/>
  <c r="AA18" i="60"/>
  <c r="F18" i="60"/>
  <c r="G18" i="60" s="1"/>
  <c r="AA17" i="60"/>
  <c r="F17" i="60"/>
  <c r="G17" i="60" s="1"/>
  <c r="AA16" i="60"/>
  <c r="F16" i="60"/>
  <c r="G16" i="60" s="1"/>
  <c r="AA15" i="60"/>
  <c r="F15" i="60"/>
  <c r="G15" i="60" s="1"/>
  <c r="AA14" i="60"/>
  <c r="F14" i="60"/>
  <c r="G14" i="60" s="1"/>
  <c r="AA13" i="60"/>
  <c r="F13" i="60"/>
  <c r="G13" i="60" s="1"/>
  <c r="AA12" i="60"/>
  <c r="F12" i="60"/>
  <c r="G12" i="60" s="1"/>
  <c r="AA11" i="60"/>
  <c r="F11" i="60"/>
  <c r="G11" i="60" s="1"/>
  <c r="AA10" i="60"/>
  <c r="F10" i="60"/>
  <c r="G10" i="60" s="1"/>
  <c r="AA9" i="60"/>
  <c r="F9" i="60"/>
  <c r="G9" i="60" s="1"/>
  <c r="AA8" i="60"/>
  <c r="F8" i="60"/>
  <c r="G8" i="60" s="1"/>
  <c r="AE46" i="41"/>
  <c r="G46" i="41"/>
  <c r="H46" i="41" s="1"/>
  <c r="AE45" i="41"/>
  <c r="G45" i="41"/>
  <c r="H45" i="41" s="1"/>
  <c r="AE35" i="41"/>
  <c r="G35" i="41"/>
  <c r="H35" i="41" s="1"/>
  <c r="AE34" i="41"/>
  <c r="G34" i="41"/>
  <c r="H34" i="41" s="1"/>
  <c r="G35" i="42"/>
  <c r="F36" i="42"/>
  <c r="G36" i="42" s="1"/>
  <c r="AG20" i="61" l="1"/>
  <c r="DN15" i="4"/>
  <c r="DO15" i="4" s="1"/>
  <c r="AC33" i="60"/>
  <c r="AC37" i="60"/>
  <c r="AC44" i="60"/>
  <c r="AG34" i="41"/>
  <c r="AC40" i="60"/>
  <c r="AG21" i="61"/>
  <c r="AG5" i="62"/>
  <c r="CS12" i="4"/>
  <c r="CX12" i="4" s="1"/>
  <c r="P12" i="4"/>
  <c r="E12" i="4"/>
  <c r="Y12" i="4"/>
  <c r="AD12" i="4" s="1"/>
  <c r="CA12" i="4"/>
  <c r="AH12" i="4"/>
  <c r="AM12" i="4" s="1"/>
  <c r="CJ12" i="4"/>
  <c r="AQ12" i="4"/>
  <c r="CS16" i="4"/>
  <c r="CX16" i="4" s="1"/>
  <c r="CJ16" i="4"/>
  <c r="CO16" i="4" s="1"/>
  <c r="P16" i="4"/>
  <c r="AM16" i="4"/>
  <c r="AZ16" i="4"/>
  <c r="BE16" i="4" s="1"/>
  <c r="E16" i="4"/>
  <c r="AQ16" i="4"/>
  <c r="AV16" i="4" s="1"/>
  <c r="CA16" i="4"/>
  <c r="CF16" i="4" s="1"/>
  <c r="Y16" i="4"/>
  <c r="AD16" i="4" s="1"/>
  <c r="AG35" i="41"/>
  <c r="CU14" i="4"/>
  <c r="CV14" i="4" s="1"/>
  <c r="CU11" i="4"/>
  <c r="CV11" i="4" s="1"/>
  <c r="AE24" i="62"/>
  <c r="AC16" i="60"/>
  <c r="AC20" i="60"/>
  <c r="AC28" i="60"/>
  <c r="AC30" i="60"/>
  <c r="AC32" i="60"/>
  <c r="AC38" i="60"/>
  <c r="AC19" i="60"/>
  <c r="AC23" i="60"/>
  <c r="AC29" i="60"/>
  <c r="AC43" i="60"/>
  <c r="AC47" i="60"/>
  <c r="AG45" i="41"/>
  <c r="AG46" i="41"/>
  <c r="CU10" i="4"/>
  <c r="CV10" i="4" s="1"/>
  <c r="H15" i="62"/>
  <c r="H24" i="62" s="1"/>
  <c r="G24" i="62"/>
  <c r="AG7" i="62"/>
  <c r="AG9" i="62"/>
  <c r="AG11" i="62"/>
  <c r="AG13" i="62"/>
  <c r="AG17" i="62"/>
  <c r="AG19" i="62"/>
  <c r="AG21" i="62"/>
  <c r="AG8" i="62"/>
  <c r="AG10" i="62"/>
  <c r="AG12" i="62"/>
  <c r="AG14" i="62"/>
  <c r="AG16" i="62"/>
  <c r="AG18" i="62"/>
  <c r="AG20" i="62"/>
  <c r="AG6" i="62"/>
  <c r="AE24" i="61"/>
  <c r="AC27" i="60"/>
  <c r="CU9" i="4"/>
  <c r="CV9" i="4" s="1"/>
  <c r="CU7" i="4"/>
  <c r="CV7" i="4" s="1"/>
  <c r="CU8" i="4"/>
  <c r="CV8" i="4" s="1"/>
  <c r="AG13" i="61"/>
  <c r="AG15" i="61"/>
  <c r="AG17" i="61"/>
  <c r="AG14" i="61"/>
  <c r="AG16" i="61"/>
  <c r="AG18" i="61"/>
  <c r="AG12" i="61"/>
  <c r="AG11" i="61"/>
  <c r="AG10" i="61"/>
  <c r="AG9" i="61"/>
  <c r="AG8" i="61"/>
  <c r="AG7" i="61"/>
  <c r="H24" i="61"/>
  <c r="AG6" i="61"/>
  <c r="AC12" i="60"/>
  <c r="AC11" i="60"/>
  <c r="AA50" i="60"/>
  <c r="H50" i="60"/>
  <c r="CT18" i="4" s="1"/>
  <c r="AC14" i="60"/>
  <c r="AC15" i="60"/>
  <c r="AC18" i="60"/>
  <c r="AC22" i="60"/>
  <c r="AC25" i="60"/>
  <c r="AC26" i="60"/>
  <c r="AC35" i="60"/>
  <c r="AC36" i="60"/>
  <c r="AC42" i="60"/>
  <c r="AC46" i="60"/>
  <c r="AC9" i="60"/>
  <c r="AC13" i="60"/>
  <c r="AC17" i="60"/>
  <c r="AC24" i="60"/>
  <c r="AC31" i="60"/>
  <c r="AC41" i="60"/>
  <c r="AC45" i="60"/>
  <c r="AC8" i="60"/>
  <c r="AC21" i="60"/>
  <c r="AC34" i="60"/>
  <c r="F50" i="60"/>
  <c r="G24" i="61"/>
  <c r="AC10" i="60"/>
  <c r="G50" i="60"/>
  <c r="I52" i="60"/>
  <c r="AE52" i="55"/>
  <c r="G52" i="55"/>
  <c r="H52" i="55" s="1"/>
  <c r="DN16" i="4" l="1"/>
  <c r="DO16" i="4" s="1"/>
  <c r="J12" i="4"/>
  <c r="AG15" i="62"/>
  <c r="AG24" i="62" s="1"/>
  <c r="AG52" i="55"/>
  <c r="H52" i="60"/>
  <c r="AG24" i="61"/>
  <c r="AC50" i="60"/>
  <c r="AE33" i="41"/>
  <c r="G33" i="41"/>
  <c r="H33" i="41" s="1"/>
  <c r="AE32" i="41"/>
  <c r="G32" i="41"/>
  <c r="H32" i="41" s="1"/>
  <c r="AE31" i="41"/>
  <c r="G31" i="41"/>
  <c r="H31" i="41" s="1"/>
  <c r="AE30" i="41"/>
  <c r="G30" i="41"/>
  <c r="H30" i="41" s="1"/>
  <c r="AE29" i="41"/>
  <c r="G29" i="41"/>
  <c r="H29" i="41" s="1"/>
  <c r="AE28" i="41"/>
  <c r="G28" i="41"/>
  <c r="H28" i="41" s="1"/>
  <c r="AE27" i="41"/>
  <c r="AE26" i="41"/>
  <c r="AE25" i="41"/>
  <c r="AE24" i="41"/>
  <c r="AG33" i="41" l="1"/>
  <c r="AG32" i="41"/>
  <c r="AG28" i="41"/>
  <c r="AG30" i="41"/>
  <c r="AG31" i="41"/>
  <c r="AG29" i="41"/>
  <c r="CO12" i="4"/>
  <c r="CL14" i="4"/>
  <c r="CM14" i="4" s="1"/>
  <c r="CL12" i="4"/>
  <c r="CM12" i="4" s="1"/>
  <c r="CL11" i="4"/>
  <c r="CM11" i="4" s="1"/>
  <c r="CL10" i="4"/>
  <c r="CM10" i="4" s="1"/>
  <c r="CL9" i="4"/>
  <c r="CM9" i="4" s="1"/>
  <c r="F39" i="56" l="1"/>
  <c r="G39" i="56" s="1"/>
  <c r="F36" i="56"/>
  <c r="AA21" i="56"/>
  <c r="G7" i="57"/>
  <c r="H7" i="57" s="1"/>
  <c r="AF24" i="57"/>
  <c r="AD24" i="57"/>
  <c r="AC24" i="57"/>
  <c r="AB24" i="57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CN18" i="4" s="1"/>
  <c r="K24" i="57"/>
  <c r="F24" i="57"/>
  <c r="AE22" i="57"/>
  <c r="H22" i="57"/>
  <c r="AE21" i="57"/>
  <c r="G21" i="57"/>
  <c r="H21" i="57" s="1"/>
  <c r="AE20" i="57"/>
  <c r="G20" i="57"/>
  <c r="H20" i="57" s="1"/>
  <c r="AE19" i="57"/>
  <c r="G19" i="57"/>
  <c r="H19" i="57" s="1"/>
  <c r="AE18" i="57"/>
  <c r="G18" i="57"/>
  <c r="H18" i="57" s="1"/>
  <c r="AE17" i="57"/>
  <c r="G17" i="57"/>
  <c r="H17" i="57" s="1"/>
  <c r="AE16" i="57"/>
  <c r="G16" i="57"/>
  <c r="H16" i="57" s="1"/>
  <c r="AE15" i="57"/>
  <c r="G15" i="57"/>
  <c r="H15" i="57" s="1"/>
  <c r="AE14" i="57"/>
  <c r="G14" i="57"/>
  <c r="H14" i="57" s="1"/>
  <c r="AE13" i="57"/>
  <c r="G13" i="57"/>
  <c r="H13" i="57" s="1"/>
  <c r="AE12" i="57"/>
  <c r="G12" i="57"/>
  <c r="H12" i="57" s="1"/>
  <c r="AE11" i="57"/>
  <c r="G11" i="57"/>
  <c r="H11" i="57" s="1"/>
  <c r="AE10" i="57"/>
  <c r="G10" i="57"/>
  <c r="H10" i="57" s="1"/>
  <c r="AE9" i="57"/>
  <c r="G9" i="57"/>
  <c r="H9" i="57" s="1"/>
  <c r="AE8" i="57"/>
  <c r="G8" i="57"/>
  <c r="H8" i="57" s="1"/>
  <c r="AE7" i="57"/>
  <c r="AE6" i="57"/>
  <c r="G6" i="57"/>
  <c r="H6" i="57" s="1"/>
  <c r="AB50" i="56"/>
  <c r="Z50" i="56"/>
  <c r="Y50" i="56"/>
  <c r="X50" i="56"/>
  <c r="W50" i="56"/>
  <c r="V50" i="56"/>
  <c r="U50" i="56"/>
  <c r="T50" i="56"/>
  <c r="S50" i="56"/>
  <c r="R50" i="56"/>
  <c r="Q50" i="56"/>
  <c r="P50" i="56"/>
  <c r="O50" i="56"/>
  <c r="N50" i="56"/>
  <c r="M50" i="56"/>
  <c r="L50" i="56"/>
  <c r="K50" i="56"/>
  <c r="CL8" i="4" s="1"/>
  <c r="CM8" i="4" s="1"/>
  <c r="J50" i="56"/>
  <c r="I50" i="56"/>
  <c r="I52" i="56" s="1"/>
  <c r="E50" i="56"/>
  <c r="AA48" i="56"/>
  <c r="AC48" i="56" s="1"/>
  <c r="AA47" i="56"/>
  <c r="G47" i="56"/>
  <c r="AA46" i="56"/>
  <c r="G46" i="56"/>
  <c r="AA45" i="56"/>
  <c r="G45" i="56"/>
  <c r="AA44" i="56"/>
  <c r="G44" i="56"/>
  <c r="AA43" i="56"/>
  <c r="G43" i="56"/>
  <c r="AA42" i="56"/>
  <c r="G42" i="56"/>
  <c r="AA41" i="56"/>
  <c r="G41" i="56"/>
  <c r="AA40" i="56"/>
  <c r="G40" i="56"/>
  <c r="AA38" i="56"/>
  <c r="F38" i="56"/>
  <c r="G38" i="56" s="1"/>
  <c r="AA37" i="56"/>
  <c r="F37" i="56"/>
  <c r="G37" i="56" s="1"/>
  <c r="AA36" i="56"/>
  <c r="G36" i="56"/>
  <c r="AA35" i="56"/>
  <c r="F35" i="56"/>
  <c r="G35" i="56" s="1"/>
  <c r="AA34" i="56"/>
  <c r="F34" i="56"/>
  <c r="G34" i="56" s="1"/>
  <c r="AA33" i="56"/>
  <c r="F33" i="56"/>
  <c r="G33" i="56" s="1"/>
  <c r="AA32" i="56"/>
  <c r="F32" i="56"/>
  <c r="G32" i="56" s="1"/>
  <c r="AA31" i="56"/>
  <c r="F31" i="56"/>
  <c r="G31" i="56" s="1"/>
  <c r="AA30" i="56"/>
  <c r="F30" i="56"/>
  <c r="G30" i="56" s="1"/>
  <c r="AA29" i="56"/>
  <c r="F29" i="56"/>
  <c r="G29" i="56" s="1"/>
  <c r="AA28" i="56"/>
  <c r="F28" i="56"/>
  <c r="G28" i="56" s="1"/>
  <c r="AA27" i="56"/>
  <c r="F27" i="56"/>
  <c r="G27" i="56" s="1"/>
  <c r="AA26" i="56"/>
  <c r="F26" i="56"/>
  <c r="G26" i="56" s="1"/>
  <c r="AA25" i="56"/>
  <c r="F25" i="56"/>
  <c r="G25" i="56" s="1"/>
  <c r="AA24" i="56"/>
  <c r="F24" i="56"/>
  <c r="G24" i="56" s="1"/>
  <c r="AA23" i="56"/>
  <c r="F23" i="56"/>
  <c r="G23" i="56" s="1"/>
  <c r="AA22" i="56"/>
  <c r="F22" i="56"/>
  <c r="G22" i="56" s="1"/>
  <c r="F21" i="56"/>
  <c r="G21" i="56" s="1"/>
  <c r="AA20" i="56"/>
  <c r="F20" i="56"/>
  <c r="G20" i="56" s="1"/>
  <c r="AA19" i="56"/>
  <c r="F19" i="56"/>
  <c r="G19" i="56" s="1"/>
  <c r="AA18" i="56"/>
  <c r="F18" i="56"/>
  <c r="G18" i="56" s="1"/>
  <c r="AA17" i="56"/>
  <c r="F17" i="56"/>
  <c r="G17" i="56" s="1"/>
  <c r="AA16" i="56"/>
  <c r="F16" i="56"/>
  <c r="G16" i="56" s="1"/>
  <c r="AA15" i="56"/>
  <c r="F15" i="56"/>
  <c r="G15" i="56" s="1"/>
  <c r="AA14" i="56"/>
  <c r="F14" i="56"/>
  <c r="G14" i="56" s="1"/>
  <c r="AA13" i="56"/>
  <c r="F13" i="56"/>
  <c r="G13" i="56" s="1"/>
  <c r="AA12" i="56"/>
  <c r="F12" i="56"/>
  <c r="G12" i="56" s="1"/>
  <c r="AA11" i="56"/>
  <c r="F11" i="56"/>
  <c r="G11" i="56" s="1"/>
  <c r="AA10" i="56"/>
  <c r="F10" i="56"/>
  <c r="G10" i="56" s="1"/>
  <c r="AA9" i="56"/>
  <c r="F9" i="56"/>
  <c r="G9" i="56" s="1"/>
  <c r="AA8" i="56"/>
  <c r="AE51" i="55"/>
  <c r="H51" i="55"/>
  <c r="AC21" i="56" l="1"/>
  <c r="AG51" i="55"/>
  <c r="AG14" i="57"/>
  <c r="AG16" i="57"/>
  <c r="AG18" i="57"/>
  <c r="AC46" i="56"/>
  <c r="AC42" i="56"/>
  <c r="AC43" i="56"/>
  <c r="AC47" i="56"/>
  <c r="AC31" i="56"/>
  <c r="AC30" i="56"/>
  <c r="AC15" i="56"/>
  <c r="AC10" i="56"/>
  <c r="AC14" i="56"/>
  <c r="AC9" i="56"/>
  <c r="AC41" i="56"/>
  <c r="AC45" i="56"/>
  <c r="AC40" i="56"/>
  <c r="AC44" i="56"/>
  <c r="AC38" i="56"/>
  <c r="AC37" i="56"/>
  <c r="AC36" i="56"/>
  <c r="AC35" i="56"/>
  <c r="AC33" i="56"/>
  <c r="AC32" i="56"/>
  <c r="AC29" i="56"/>
  <c r="AC27" i="56"/>
  <c r="AC26" i="56"/>
  <c r="AC25" i="56"/>
  <c r="H50" i="56"/>
  <c r="CK18" i="4" s="1"/>
  <c r="AC34" i="56"/>
  <c r="AC28" i="56"/>
  <c r="AC24" i="56"/>
  <c r="AC23" i="56"/>
  <c r="AC22" i="56"/>
  <c r="AC20" i="56"/>
  <c r="AC19" i="56"/>
  <c r="AC18" i="56"/>
  <c r="AC17" i="56"/>
  <c r="AC16" i="56"/>
  <c r="AC13" i="56"/>
  <c r="L59" i="56"/>
  <c r="AC12" i="56"/>
  <c r="AC11" i="56"/>
  <c r="F50" i="56"/>
  <c r="AA50" i="56"/>
  <c r="AG17" i="57"/>
  <c r="AG20" i="57"/>
  <c r="AG21" i="57"/>
  <c r="AG19" i="57"/>
  <c r="AG22" i="57"/>
  <c r="AG9" i="57"/>
  <c r="AG12" i="57"/>
  <c r="AG10" i="57"/>
  <c r="AG8" i="57"/>
  <c r="AG7" i="57"/>
  <c r="AE24" i="57"/>
  <c r="AG6" i="57"/>
  <c r="AG11" i="57"/>
  <c r="AG13" i="57"/>
  <c r="AG15" i="57"/>
  <c r="H24" i="57"/>
  <c r="G24" i="57"/>
  <c r="AE50" i="55"/>
  <c r="G50" i="55"/>
  <c r="H50" i="55" s="1"/>
  <c r="AE49" i="55"/>
  <c r="G49" i="55"/>
  <c r="H49" i="55" s="1"/>
  <c r="AG49" i="55" l="1"/>
  <c r="AG50" i="55"/>
  <c r="H52" i="56"/>
  <c r="AG24" i="57"/>
  <c r="G50" i="56"/>
  <c r="AC8" i="56"/>
  <c r="AC50" i="56" s="1"/>
  <c r="AE48" i="55"/>
  <c r="G48" i="55"/>
  <c r="H48" i="55" s="1"/>
  <c r="AE47" i="55"/>
  <c r="G47" i="55"/>
  <c r="H47" i="55" s="1"/>
  <c r="AE46" i="55"/>
  <c r="G46" i="55"/>
  <c r="H46" i="55" s="1"/>
  <c r="AG47" i="55" l="1"/>
  <c r="AG46" i="55"/>
  <c r="AG48" i="55"/>
  <c r="CF12" i="4" l="1"/>
  <c r="AA45" i="54"/>
  <c r="AE44" i="55" l="1"/>
  <c r="G44" i="55"/>
  <c r="H44" i="55" s="1"/>
  <c r="AE43" i="55"/>
  <c r="G43" i="55"/>
  <c r="H43" i="55" s="1"/>
  <c r="G42" i="55"/>
  <c r="H42" i="55" s="1"/>
  <c r="AE41" i="55"/>
  <c r="G41" i="55"/>
  <c r="H41" i="55" s="1"/>
  <c r="AE40" i="55"/>
  <c r="G40" i="55"/>
  <c r="H40" i="55" s="1"/>
  <c r="G39" i="55"/>
  <c r="H39" i="55" s="1"/>
  <c r="G38" i="55"/>
  <c r="H38" i="55" s="1"/>
  <c r="G37" i="55"/>
  <c r="H37" i="55" s="1"/>
  <c r="G36" i="55"/>
  <c r="H36" i="55" s="1"/>
  <c r="G35" i="55"/>
  <c r="H35" i="55" s="1"/>
  <c r="AE42" i="55"/>
  <c r="AE39" i="55"/>
  <c r="AE38" i="55"/>
  <c r="AE37" i="55"/>
  <c r="AE36" i="55"/>
  <c r="AE35" i="55"/>
  <c r="AE34" i="55"/>
  <c r="G34" i="55"/>
  <c r="H34" i="55" s="1"/>
  <c r="G33" i="55"/>
  <c r="H33" i="55" s="1"/>
  <c r="G32" i="55"/>
  <c r="R54" i="55"/>
  <c r="G6" i="55"/>
  <c r="H6" i="55" s="1"/>
  <c r="F39" i="54"/>
  <c r="G39" i="54" s="1"/>
  <c r="F38" i="54"/>
  <c r="F37" i="54"/>
  <c r="G36" i="54"/>
  <c r="F35" i="54"/>
  <c r="G35" i="54" s="1"/>
  <c r="AF54" i="55"/>
  <c r="AD54" i="55"/>
  <c r="AC54" i="55"/>
  <c r="AB54" i="55"/>
  <c r="AA54" i="55"/>
  <c r="Z54" i="55"/>
  <c r="Y54" i="55"/>
  <c r="X54" i="55"/>
  <c r="W54" i="55"/>
  <c r="V54" i="55"/>
  <c r="U54" i="55"/>
  <c r="T54" i="55"/>
  <c r="S54" i="55"/>
  <c r="Q54" i="55"/>
  <c r="P54" i="55"/>
  <c r="O54" i="55"/>
  <c r="N54" i="55"/>
  <c r="CE18" i="4" s="1"/>
  <c r="K54" i="55"/>
  <c r="F54" i="55"/>
  <c r="AE45" i="55"/>
  <c r="H45" i="55"/>
  <c r="AE33" i="55"/>
  <c r="AE32" i="55"/>
  <c r="H32" i="55"/>
  <c r="AE31" i="55"/>
  <c r="G31" i="55"/>
  <c r="H31" i="55" s="1"/>
  <c r="AE30" i="55"/>
  <c r="G30" i="55"/>
  <c r="H30" i="55" s="1"/>
  <c r="AE29" i="55"/>
  <c r="G29" i="55"/>
  <c r="H29" i="55" s="1"/>
  <c r="AE28" i="55"/>
  <c r="G28" i="55"/>
  <c r="H28" i="55" s="1"/>
  <c r="AE27" i="55"/>
  <c r="G27" i="55"/>
  <c r="H27" i="55" s="1"/>
  <c r="AE26" i="55"/>
  <c r="G26" i="55"/>
  <c r="H26" i="55" s="1"/>
  <c r="AE25" i="55"/>
  <c r="G25" i="55"/>
  <c r="H25" i="55" s="1"/>
  <c r="AE24" i="55"/>
  <c r="G24" i="55"/>
  <c r="H24" i="55" s="1"/>
  <c r="AE23" i="55"/>
  <c r="G23" i="55"/>
  <c r="H23" i="55" s="1"/>
  <c r="AE22" i="55"/>
  <c r="G22" i="55"/>
  <c r="H22" i="55" s="1"/>
  <c r="AE21" i="55"/>
  <c r="G21" i="55"/>
  <c r="H21" i="55" s="1"/>
  <c r="AE20" i="55"/>
  <c r="G20" i="55"/>
  <c r="H20" i="55" s="1"/>
  <c r="AE19" i="55"/>
  <c r="G19" i="55"/>
  <c r="H19" i="55" s="1"/>
  <c r="AE18" i="55"/>
  <c r="G18" i="55"/>
  <c r="H18" i="55" s="1"/>
  <c r="AE17" i="55"/>
  <c r="G17" i="55"/>
  <c r="H17" i="55" s="1"/>
  <c r="AE16" i="55"/>
  <c r="G16" i="55"/>
  <c r="H16" i="55" s="1"/>
  <c r="AE15" i="55"/>
  <c r="G15" i="55"/>
  <c r="H15" i="55" s="1"/>
  <c r="AE14" i="55"/>
  <c r="G14" i="55"/>
  <c r="H14" i="55" s="1"/>
  <c r="AE13" i="55"/>
  <c r="G13" i="55"/>
  <c r="H13" i="55" s="1"/>
  <c r="AE12" i="55"/>
  <c r="G12" i="55"/>
  <c r="H12" i="55" s="1"/>
  <c r="AE11" i="55"/>
  <c r="G11" i="55"/>
  <c r="H11" i="55" s="1"/>
  <c r="G10" i="55"/>
  <c r="H10" i="55" s="1"/>
  <c r="AE9" i="55"/>
  <c r="G9" i="55"/>
  <c r="H9" i="55" s="1"/>
  <c r="AE8" i="55"/>
  <c r="G8" i="55"/>
  <c r="H8" i="55" s="1"/>
  <c r="AE7" i="55"/>
  <c r="H7" i="55"/>
  <c r="AE6" i="55"/>
  <c r="AB51" i="54"/>
  <c r="E51" i="54"/>
  <c r="AA49" i="54"/>
  <c r="AC49" i="54" s="1"/>
  <c r="AA48" i="54"/>
  <c r="G48" i="54"/>
  <c r="AA47" i="54"/>
  <c r="G47" i="54"/>
  <c r="AA46" i="54"/>
  <c r="G46" i="54"/>
  <c r="G45" i="54"/>
  <c r="AC45" i="54" s="1"/>
  <c r="AA44" i="54"/>
  <c r="G44" i="54"/>
  <c r="AA43" i="54"/>
  <c r="G43" i="54"/>
  <c r="AA42" i="54"/>
  <c r="G42" i="54"/>
  <c r="AA41" i="54"/>
  <c r="G41" i="54"/>
  <c r="AA40" i="54"/>
  <c r="F40" i="54"/>
  <c r="G40" i="54" s="1"/>
  <c r="AA39" i="54"/>
  <c r="AA38" i="54"/>
  <c r="G38" i="54"/>
  <c r="AA37" i="54"/>
  <c r="AA36" i="54"/>
  <c r="AA35" i="54"/>
  <c r="AA34" i="54"/>
  <c r="F34" i="54"/>
  <c r="G34" i="54" s="1"/>
  <c r="AA33" i="54"/>
  <c r="F33" i="54"/>
  <c r="G33" i="54" s="1"/>
  <c r="AA32" i="54"/>
  <c r="F32" i="54"/>
  <c r="G32" i="54" s="1"/>
  <c r="AA31" i="54"/>
  <c r="F31" i="54"/>
  <c r="G31" i="54" s="1"/>
  <c r="AA30" i="54"/>
  <c r="F30" i="54"/>
  <c r="G30" i="54" s="1"/>
  <c r="AA29" i="54"/>
  <c r="F29" i="54"/>
  <c r="G29" i="54" s="1"/>
  <c r="AA28" i="54"/>
  <c r="F28" i="54"/>
  <c r="G28" i="54" s="1"/>
  <c r="AA27" i="54"/>
  <c r="F27" i="54"/>
  <c r="G27" i="54" s="1"/>
  <c r="AA26" i="54"/>
  <c r="F26" i="54"/>
  <c r="G26" i="54" s="1"/>
  <c r="AA25" i="54"/>
  <c r="F25" i="54"/>
  <c r="G25" i="54" s="1"/>
  <c r="AA24" i="54"/>
  <c r="F24" i="54"/>
  <c r="G24" i="54" s="1"/>
  <c r="AA23" i="54"/>
  <c r="F23" i="54"/>
  <c r="G23" i="54" s="1"/>
  <c r="AA22" i="54"/>
  <c r="F22" i="54"/>
  <c r="G22" i="54" s="1"/>
  <c r="AA21" i="54"/>
  <c r="F21" i="54"/>
  <c r="G21" i="54" s="1"/>
  <c r="AA20" i="54"/>
  <c r="F20" i="54"/>
  <c r="G20" i="54" s="1"/>
  <c r="AA19" i="54"/>
  <c r="F19" i="54"/>
  <c r="G19" i="54" s="1"/>
  <c r="AA18" i="54"/>
  <c r="F18" i="54"/>
  <c r="G18" i="54" s="1"/>
  <c r="AA17" i="54"/>
  <c r="F17" i="54"/>
  <c r="G17" i="54" s="1"/>
  <c r="AA16" i="54"/>
  <c r="F16" i="54"/>
  <c r="G16" i="54" s="1"/>
  <c r="AA15" i="54"/>
  <c r="F15" i="54"/>
  <c r="G15" i="54" s="1"/>
  <c r="AA14" i="54"/>
  <c r="F14" i="54"/>
  <c r="G14" i="54" s="1"/>
  <c r="AA13" i="54"/>
  <c r="F13" i="54"/>
  <c r="G13" i="54" s="1"/>
  <c r="AA12" i="54"/>
  <c r="F12" i="54"/>
  <c r="G12" i="54" s="1"/>
  <c r="AA11" i="54"/>
  <c r="F11" i="54"/>
  <c r="G11" i="54" s="1"/>
  <c r="AA10" i="54"/>
  <c r="F10" i="54"/>
  <c r="G10" i="54" s="1"/>
  <c r="AA9" i="54"/>
  <c r="F9" i="54"/>
  <c r="G9" i="54" s="1"/>
  <c r="AA8" i="54"/>
  <c r="F8" i="54"/>
  <c r="AE34" i="53"/>
  <c r="H34" i="53"/>
  <c r="H22" i="50"/>
  <c r="AE20" i="50"/>
  <c r="G20" i="50"/>
  <c r="H20" i="50" s="1"/>
  <c r="AE19" i="50"/>
  <c r="G19" i="50"/>
  <c r="H19" i="50" s="1"/>
  <c r="G18" i="50"/>
  <c r="H18" i="50" s="1"/>
  <c r="AE39" i="46"/>
  <c r="AG39" i="46" s="1"/>
  <c r="AE23" i="41"/>
  <c r="AD28" i="37"/>
  <c r="AE38" i="46"/>
  <c r="AG38" i="46" s="1"/>
  <c r="AG20" i="50" l="1"/>
  <c r="AG40" i="55"/>
  <c r="AC48" i="54"/>
  <c r="AC14" i="54"/>
  <c r="AC20" i="54"/>
  <c r="AC47" i="54"/>
  <c r="AC42" i="54"/>
  <c r="AC13" i="54"/>
  <c r="AC44" i="54"/>
  <c r="AC10" i="54"/>
  <c r="AC12" i="54"/>
  <c r="AG34" i="53"/>
  <c r="AG19" i="50"/>
  <c r="AG43" i="55"/>
  <c r="AG41" i="55"/>
  <c r="AG44" i="55"/>
  <c r="AG34" i="55"/>
  <c r="AC46" i="54"/>
  <c r="AC43" i="54"/>
  <c r="AC41" i="54"/>
  <c r="AG42" i="55"/>
  <c r="AG33" i="55"/>
  <c r="AG39" i="55"/>
  <c r="AG38" i="55"/>
  <c r="AG37" i="55"/>
  <c r="AG36" i="55"/>
  <c r="AG35" i="55"/>
  <c r="AG11" i="55"/>
  <c r="AG13" i="55"/>
  <c r="AG15" i="55"/>
  <c r="AG9" i="55"/>
  <c r="AG45" i="55"/>
  <c r="AG32" i="55"/>
  <c r="AE10" i="55"/>
  <c r="AG10" i="55" s="1"/>
  <c r="AG17" i="55"/>
  <c r="AG31" i="55"/>
  <c r="AG29" i="55"/>
  <c r="AG27" i="55"/>
  <c r="AG25" i="55"/>
  <c r="AG23" i="55"/>
  <c r="AG21" i="55"/>
  <c r="AG19" i="55"/>
  <c r="AG7" i="55"/>
  <c r="H54" i="55"/>
  <c r="AG6" i="55"/>
  <c r="AC40" i="54"/>
  <c r="AC39" i="54"/>
  <c r="AC38" i="54"/>
  <c r="AC37" i="54"/>
  <c r="AC36" i="54"/>
  <c r="AC35" i="54"/>
  <c r="AC34" i="54"/>
  <c r="AC33" i="54"/>
  <c r="AC32" i="54"/>
  <c r="AC31" i="54"/>
  <c r="AC30" i="54"/>
  <c r="AC29" i="54"/>
  <c r="AC28" i="54"/>
  <c r="AC27" i="54"/>
  <c r="AC26" i="54"/>
  <c r="AC25" i="54"/>
  <c r="AC24" i="54"/>
  <c r="AC23" i="54"/>
  <c r="AC22" i="54"/>
  <c r="AC21" i="54"/>
  <c r="AC19" i="54"/>
  <c r="AC18" i="54"/>
  <c r="H53" i="54"/>
  <c r="AC17" i="54"/>
  <c r="AC16" i="54"/>
  <c r="AC15" i="54"/>
  <c r="L60" i="54"/>
  <c r="AC11" i="54"/>
  <c r="AA51" i="54"/>
  <c r="AC9" i="54"/>
  <c r="F51" i="54"/>
  <c r="G8" i="54"/>
  <c r="AC8" i="54" s="1"/>
  <c r="AG8" i="55"/>
  <c r="AG12" i="55"/>
  <c r="AG14" i="55"/>
  <c r="AG16" i="55"/>
  <c r="AG18" i="55"/>
  <c r="AG20" i="55"/>
  <c r="AG22" i="55"/>
  <c r="AG24" i="55"/>
  <c r="AG26" i="55"/>
  <c r="AG28" i="55"/>
  <c r="AG30" i="55"/>
  <c r="G54" i="55"/>
  <c r="I53" i="54"/>
  <c r="AE38" i="48"/>
  <c r="DN19" i="4"/>
  <c r="DN18" i="4"/>
  <c r="AE33" i="53"/>
  <c r="H33" i="53"/>
  <c r="AE32" i="53"/>
  <c r="H32" i="53"/>
  <c r="G51" i="54" l="1"/>
  <c r="AE54" i="55"/>
  <c r="AG54" i="55"/>
  <c r="AC51" i="54"/>
  <c r="AE31" i="53"/>
  <c r="G31" i="53"/>
  <c r="H31" i="53" s="1"/>
  <c r="AE30" i="53"/>
  <c r="G30" i="53"/>
  <c r="H30" i="53" s="1"/>
  <c r="BT12" i="4"/>
  <c r="BU12" i="4" s="1"/>
  <c r="BT11" i="4"/>
  <c r="BT10" i="4"/>
  <c r="BT9" i="4"/>
  <c r="BU9" i="4" s="1"/>
  <c r="CC12" i="4"/>
  <c r="CD12" i="4" s="1"/>
  <c r="CC8" i="4"/>
  <c r="AB51" i="52"/>
  <c r="Z51" i="52"/>
  <c r="Y51" i="52"/>
  <c r="X51" i="52"/>
  <c r="W51" i="52"/>
  <c r="V51" i="52"/>
  <c r="U51" i="52"/>
  <c r="T51" i="52"/>
  <c r="S51" i="52"/>
  <c r="R51" i="52"/>
  <c r="Q51" i="52"/>
  <c r="P51" i="52"/>
  <c r="O51" i="52"/>
  <c r="N51" i="52"/>
  <c r="M51" i="52"/>
  <c r="L51" i="52"/>
  <c r="K51" i="52"/>
  <c r="BT8" i="4" s="1"/>
  <c r="BU8" i="4" s="1"/>
  <c r="J51" i="52"/>
  <c r="I51" i="52"/>
  <c r="H51" i="52"/>
  <c r="BS18" i="4" s="1"/>
  <c r="E51" i="52"/>
  <c r="CC7" i="4"/>
  <c r="AE29" i="53"/>
  <c r="G29" i="53"/>
  <c r="H29" i="53" s="1"/>
  <c r="AG31" i="53" l="1"/>
  <c r="AG30" i="53"/>
  <c r="BU11" i="4"/>
  <c r="BT7" i="4"/>
  <c r="BU7" i="4" s="1"/>
  <c r="BT14" i="4"/>
  <c r="BU14" i="4" s="1"/>
  <c r="BU10" i="4"/>
  <c r="CC11" i="4"/>
  <c r="CD11" i="4" s="1"/>
  <c r="CD8" i="4"/>
  <c r="CC9" i="4"/>
  <c r="CD9" i="4" s="1"/>
  <c r="CC14" i="4"/>
  <c r="CD14" i="4" s="1"/>
  <c r="CC10" i="4"/>
  <c r="CD10" i="4" s="1"/>
  <c r="CD7" i="4"/>
  <c r="G28" i="53"/>
  <c r="H28" i="53" s="1"/>
  <c r="AG29" i="53"/>
  <c r="AE28" i="53"/>
  <c r="AE27" i="53"/>
  <c r="AE26" i="53"/>
  <c r="AE25" i="53"/>
  <c r="AE24" i="53"/>
  <c r="G27" i="53"/>
  <c r="H27" i="53" s="1"/>
  <c r="G26" i="53"/>
  <c r="H26" i="53" s="1"/>
  <c r="AG26" i="53" s="1"/>
  <c r="G25" i="53"/>
  <c r="H25" i="53" s="1"/>
  <c r="G24" i="53"/>
  <c r="H24" i="53" s="1"/>
  <c r="AG24" i="53" s="1"/>
  <c r="AE23" i="53"/>
  <c r="G23" i="53"/>
  <c r="H23" i="53" s="1"/>
  <c r="AE22" i="53"/>
  <c r="G22" i="53"/>
  <c r="H22" i="53" s="1"/>
  <c r="G21" i="53"/>
  <c r="H21" i="53" s="1"/>
  <c r="G20" i="53"/>
  <c r="H20" i="53" s="1"/>
  <c r="G18" i="53"/>
  <c r="H18" i="53" s="1"/>
  <c r="F33" i="52"/>
  <c r="G33" i="52" s="1"/>
  <c r="F29" i="52"/>
  <c r="G29" i="52" s="1"/>
  <c r="F26" i="52"/>
  <c r="G26" i="52" s="1"/>
  <c r="AA8" i="52"/>
  <c r="F8" i="52"/>
  <c r="G8" i="52" s="1"/>
  <c r="AF40" i="53"/>
  <c r="AD40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BV18" i="4" s="1"/>
  <c r="K40" i="53"/>
  <c r="F40" i="53"/>
  <c r="AE21" i="53"/>
  <c r="AE20" i="53"/>
  <c r="AE19" i="53"/>
  <c r="G19" i="53"/>
  <c r="H19" i="53" s="1"/>
  <c r="AE18" i="53"/>
  <c r="AE17" i="53"/>
  <c r="G17" i="53"/>
  <c r="H17" i="53" s="1"/>
  <c r="AE16" i="53"/>
  <c r="G16" i="53"/>
  <c r="H16" i="53" s="1"/>
  <c r="AE15" i="53"/>
  <c r="G15" i="53"/>
  <c r="H15" i="53" s="1"/>
  <c r="AE14" i="53"/>
  <c r="G14" i="53"/>
  <c r="H14" i="53" s="1"/>
  <c r="AE13" i="53"/>
  <c r="G13" i="53"/>
  <c r="H13" i="53" s="1"/>
  <c r="AE12" i="53"/>
  <c r="G12" i="53"/>
  <c r="H12" i="53" s="1"/>
  <c r="AE11" i="53"/>
  <c r="G11" i="53"/>
  <c r="H11" i="53" s="1"/>
  <c r="AE10" i="53"/>
  <c r="G10" i="53"/>
  <c r="H10" i="53" s="1"/>
  <c r="AE9" i="53"/>
  <c r="G9" i="53"/>
  <c r="H9" i="53" s="1"/>
  <c r="AE8" i="53"/>
  <c r="G8" i="53"/>
  <c r="H8" i="53" s="1"/>
  <c r="AE7" i="53"/>
  <c r="G7" i="53"/>
  <c r="AE6" i="53"/>
  <c r="AA49" i="52"/>
  <c r="AC49" i="52" s="1"/>
  <c r="AA48" i="52"/>
  <c r="G48" i="52"/>
  <c r="AA47" i="52"/>
  <c r="G47" i="52"/>
  <c r="AA46" i="52"/>
  <c r="G46" i="52"/>
  <c r="AA44" i="52"/>
  <c r="F44" i="52"/>
  <c r="G44" i="52" s="1"/>
  <c r="AA43" i="52"/>
  <c r="F43" i="52"/>
  <c r="G43" i="52" s="1"/>
  <c r="AA42" i="52"/>
  <c r="F42" i="52"/>
  <c r="G42" i="52" s="1"/>
  <c r="AA41" i="52"/>
  <c r="F41" i="52"/>
  <c r="G41" i="52" s="1"/>
  <c r="AA40" i="52"/>
  <c r="F40" i="52"/>
  <c r="G40" i="52" s="1"/>
  <c r="AA39" i="52"/>
  <c r="G39" i="52"/>
  <c r="AA38" i="52"/>
  <c r="G38" i="52"/>
  <c r="AA37" i="52"/>
  <c r="G37" i="52"/>
  <c r="AA36" i="52"/>
  <c r="AA35" i="52"/>
  <c r="G35" i="52"/>
  <c r="AA34" i="52"/>
  <c r="F34" i="52"/>
  <c r="G34" i="52" s="1"/>
  <c r="AA33" i="52"/>
  <c r="AA32" i="52"/>
  <c r="F32" i="52"/>
  <c r="G32" i="52" s="1"/>
  <c r="AA31" i="52"/>
  <c r="F31" i="52"/>
  <c r="G31" i="52" s="1"/>
  <c r="AA30" i="52"/>
  <c r="F30" i="52"/>
  <c r="AA29" i="52"/>
  <c r="AA28" i="52"/>
  <c r="F28" i="52"/>
  <c r="G28" i="52" s="1"/>
  <c r="AA27" i="52"/>
  <c r="F27" i="52"/>
  <c r="G27" i="52" s="1"/>
  <c r="AA26" i="52"/>
  <c r="AA25" i="52"/>
  <c r="F25" i="52"/>
  <c r="G25" i="52" s="1"/>
  <c r="AA24" i="52"/>
  <c r="F24" i="52"/>
  <c r="G24" i="52" s="1"/>
  <c r="AA23" i="52"/>
  <c r="F23" i="52"/>
  <c r="G23" i="52" s="1"/>
  <c r="AA22" i="52"/>
  <c r="F22" i="52"/>
  <c r="G22" i="52" s="1"/>
  <c r="AA21" i="52"/>
  <c r="F21" i="52"/>
  <c r="G21" i="52" s="1"/>
  <c r="AA20" i="52"/>
  <c r="F20" i="52"/>
  <c r="G20" i="52" s="1"/>
  <c r="AA19" i="52"/>
  <c r="F19" i="52"/>
  <c r="G19" i="52" s="1"/>
  <c r="AA18" i="52"/>
  <c r="F18" i="52"/>
  <c r="G18" i="52" s="1"/>
  <c r="AA17" i="52"/>
  <c r="F17" i="52"/>
  <c r="G17" i="52" s="1"/>
  <c r="AA16" i="52"/>
  <c r="F16" i="52"/>
  <c r="G16" i="52" s="1"/>
  <c r="AA15" i="52"/>
  <c r="F15" i="52"/>
  <c r="G15" i="52" s="1"/>
  <c r="AA14" i="52"/>
  <c r="F14" i="52"/>
  <c r="G14" i="52" s="1"/>
  <c r="AA13" i="52"/>
  <c r="F13" i="52"/>
  <c r="G13" i="52" s="1"/>
  <c r="AA12" i="52"/>
  <c r="F12" i="52"/>
  <c r="G12" i="52" s="1"/>
  <c r="AA11" i="52"/>
  <c r="F11" i="52"/>
  <c r="G11" i="52" s="1"/>
  <c r="AA10" i="52"/>
  <c r="F10" i="52"/>
  <c r="G10" i="52" s="1"/>
  <c r="AA9" i="52"/>
  <c r="F9" i="52"/>
  <c r="G9" i="52" s="1"/>
  <c r="BK12" i="4"/>
  <c r="BL12" i="4" s="1"/>
  <c r="BK11" i="4"/>
  <c r="BL11" i="4" s="1"/>
  <c r="BK7" i="4"/>
  <c r="G47" i="49"/>
  <c r="G46" i="49"/>
  <c r="G45" i="49"/>
  <c r="G44" i="49"/>
  <c r="AC44" i="49" s="1"/>
  <c r="AA47" i="49"/>
  <c r="AA46" i="49"/>
  <c r="AC46" i="49" s="1"/>
  <c r="AE23" i="50"/>
  <c r="AE22" i="50"/>
  <c r="AG22" i="50" s="1"/>
  <c r="AE21" i="50"/>
  <c r="AE18" i="50"/>
  <c r="AG18" i="50" s="1"/>
  <c r="G21" i="50"/>
  <c r="H21" i="50" s="1"/>
  <c r="AE17" i="50"/>
  <c r="G17" i="50"/>
  <c r="H17" i="50" s="1"/>
  <c r="AE16" i="50"/>
  <c r="G16" i="50"/>
  <c r="H16" i="50" s="1"/>
  <c r="AE15" i="50"/>
  <c r="G15" i="50"/>
  <c r="H15" i="50" s="1"/>
  <c r="AE14" i="50"/>
  <c r="G14" i="50"/>
  <c r="H14" i="50" s="1"/>
  <c r="AE13" i="50"/>
  <c r="G13" i="50"/>
  <c r="H13" i="50" s="1"/>
  <c r="AG13" i="50" l="1"/>
  <c r="AG14" i="50"/>
  <c r="AC10" i="52"/>
  <c r="AC14" i="52"/>
  <c r="AG23" i="53"/>
  <c r="AG25" i="53"/>
  <c r="AG27" i="53"/>
  <c r="AG22" i="53"/>
  <c r="AG20" i="53"/>
  <c r="AC31" i="52"/>
  <c r="AC8" i="52"/>
  <c r="AA51" i="52"/>
  <c r="AC32" i="52"/>
  <c r="AC41" i="52"/>
  <c r="AC48" i="52"/>
  <c r="AG21" i="50"/>
  <c r="AC47" i="49"/>
  <c r="BT22" i="4"/>
  <c r="BU22" i="4"/>
  <c r="G30" i="52"/>
  <c r="F51" i="52"/>
  <c r="CC22" i="4"/>
  <c r="CD22" i="4"/>
  <c r="BL7" i="4"/>
  <c r="BK10" i="4"/>
  <c r="BL10" i="4" s="1"/>
  <c r="BK8" i="4"/>
  <c r="BL8" i="4" s="1"/>
  <c r="BK14" i="4"/>
  <c r="BL14" i="4" s="1"/>
  <c r="BK9" i="4"/>
  <c r="BL9" i="4" s="1"/>
  <c r="AG28" i="53"/>
  <c r="AG21" i="53"/>
  <c r="AG18" i="53"/>
  <c r="AG16" i="53"/>
  <c r="G40" i="53"/>
  <c r="H7" i="53"/>
  <c r="AG7" i="53" s="1"/>
  <c r="AC37" i="52"/>
  <c r="AC33" i="52"/>
  <c r="AC27" i="52"/>
  <c r="AC26" i="52"/>
  <c r="AC22" i="52"/>
  <c r="AC19" i="52"/>
  <c r="AC18" i="52"/>
  <c r="H53" i="52"/>
  <c r="AC44" i="52"/>
  <c r="AC47" i="52"/>
  <c r="L60" i="52"/>
  <c r="AC12" i="52"/>
  <c r="AC17" i="52"/>
  <c r="AC21" i="52"/>
  <c r="AC36" i="52"/>
  <c r="AC40" i="52"/>
  <c r="AC11" i="52"/>
  <c r="AC15" i="52"/>
  <c r="AC16" i="52"/>
  <c r="AC20" i="52"/>
  <c r="AC25" i="52"/>
  <c r="AC29" i="52"/>
  <c r="AC35" i="52"/>
  <c r="AC39" i="52"/>
  <c r="AC43" i="52"/>
  <c r="AC46" i="52"/>
  <c r="I53" i="52"/>
  <c r="AC23" i="52"/>
  <c r="AC38" i="52"/>
  <c r="AC42" i="52"/>
  <c r="AG17" i="53"/>
  <c r="AG19" i="53"/>
  <c r="AG12" i="53"/>
  <c r="H6" i="53"/>
  <c r="H40" i="53" s="1"/>
  <c r="AG11" i="53"/>
  <c r="AG15" i="53"/>
  <c r="AG10" i="53"/>
  <c r="AG14" i="53"/>
  <c r="AG8" i="53"/>
  <c r="AG9" i="53"/>
  <c r="AG13" i="53"/>
  <c r="AE40" i="53"/>
  <c r="AC24" i="52"/>
  <c r="AC34" i="52"/>
  <c r="AC9" i="52"/>
  <c r="AC28" i="52"/>
  <c r="AC13" i="52"/>
  <c r="G45" i="52"/>
  <c r="AC45" i="52" s="1"/>
  <c r="AG17" i="50"/>
  <c r="AG16" i="50"/>
  <c r="AG15" i="50"/>
  <c r="AA43" i="49"/>
  <c r="F43" i="49"/>
  <c r="G43" i="49" s="1"/>
  <c r="AA42" i="49"/>
  <c r="F42" i="49"/>
  <c r="G42" i="49" s="1"/>
  <c r="AA41" i="49"/>
  <c r="F41" i="49"/>
  <c r="G41" i="49" s="1"/>
  <c r="AA40" i="49"/>
  <c r="F40" i="49"/>
  <c r="G40" i="49" s="1"/>
  <c r="AA39" i="49"/>
  <c r="F39" i="49"/>
  <c r="G39" i="49" s="1"/>
  <c r="AA38" i="49"/>
  <c r="F38" i="49"/>
  <c r="G38" i="49" s="1"/>
  <c r="AA37" i="49"/>
  <c r="F37" i="49"/>
  <c r="G37" i="49" s="1"/>
  <c r="AA36" i="49"/>
  <c r="F36" i="49"/>
  <c r="G36" i="49" s="1"/>
  <c r="F35" i="49"/>
  <c r="G35" i="49" s="1"/>
  <c r="AA34" i="49"/>
  <c r="F34" i="49"/>
  <c r="G34" i="49" s="1"/>
  <c r="AA35" i="49"/>
  <c r="AA33" i="49"/>
  <c r="F33" i="49"/>
  <c r="G33" i="49" s="1"/>
  <c r="AA32" i="49"/>
  <c r="G32" i="49"/>
  <c r="AA28" i="49"/>
  <c r="AA31" i="49"/>
  <c r="F31" i="49"/>
  <c r="G31" i="49" s="1"/>
  <c r="F30" i="49"/>
  <c r="G30" i="49" s="1"/>
  <c r="F29" i="49"/>
  <c r="G29" i="49" s="1"/>
  <c r="F27" i="49"/>
  <c r="F26" i="49"/>
  <c r="F21" i="49"/>
  <c r="G20" i="1"/>
  <c r="J20" i="1" s="1"/>
  <c r="E20" i="1"/>
  <c r="AE12" i="50"/>
  <c r="G12" i="50"/>
  <c r="H12" i="50" s="1"/>
  <c r="G51" i="52" l="1"/>
  <c r="AC33" i="49"/>
  <c r="AC37" i="49"/>
  <c r="AC39" i="49"/>
  <c r="AC41" i="49"/>
  <c r="AC32" i="49"/>
  <c r="AC36" i="49"/>
  <c r="AC38" i="49"/>
  <c r="AC40" i="49"/>
  <c r="M20" i="1"/>
  <c r="C21" i="3"/>
  <c r="AC42" i="49"/>
  <c r="AC31" i="49"/>
  <c r="AC34" i="49"/>
  <c r="AC30" i="52"/>
  <c r="AC51" i="52"/>
  <c r="AC43" i="49"/>
  <c r="AC35" i="49"/>
  <c r="K20" i="1"/>
  <c r="DR14" i="4" s="1"/>
  <c r="DT14" i="4" s="1"/>
  <c r="AG12" i="50"/>
  <c r="BL22" i="4"/>
  <c r="BK22" i="4"/>
  <c r="AG6" i="53"/>
  <c r="AG40" i="53" s="1"/>
  <c r="AF42" i="50"/>
  <c r="AD42" i="50"/>
  <c r="AC42" i="50"/>
  <c r="AB42" i="50"/>
  <c r="AA42" i="50"/>
  <c r="Z42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BM18" i="4" s="1"/>
  <c r="K42" i="50"/>
  <c r="F42" i="50"/>
  <c r="AE11" i="50"/>
  <c r="G11" i="50"/>
  <c r="H11" i="50" s="1"/>
  <c r="AE10" i="50"/>
  <c r="G10" i="50"/>
  <c r="H10" i="50" s="1"/>
  <c r="AE9" i="50"/>
  <c r="G9" i="50"/>
  <c r="H9" i="50" s="1"/>
  <c r="AE8" i="50"/>
  <c r="G8" i="50"/>
  <c r="H8" i="50" s="1"/>
  <c r="AE7" i="50"/>
  <c r="G7" i="50"/>
  <c r="H7" i="50" s="1"/>
  <c r="AE6" i="50"/>
  <c r="G6" i="50"/>
  <c r="E50" i="49"/>
  <c r="AA48" i="49"/>
  <c r="AC48" i="49" s="1"/>
  <c r="AA45" i="49"/>
  <c r="AC45" i="49" s="1"/>
  <c r="AA30" i="49"/>
  <c r="AC30" i="49" s="1"/>
  <c r="AA29" i="49"/>
  <c r="AC29" i="49" s="1"/>
  <c r="G28" i="49"/>
  <c r="AA27" i="49"/>
  <c r="G27" i="49"/>
  <c r="AA26" i="49"/>
  <c r="G26" i="49"/>
  <c r="AA25" i="49"/>
  <c r="G25" i="49"/>
  <c r="AA24" i="49"/>
  <c r="F24" i="49"/>
  <c r="G24" i="49" s="1"/>
  <c r="AA23" i="49"/>
  <c r="F23" i="49"/>
  <c r="G23" i="49" s="1"/>
  <c r="AA22" i="49"/>
  <c r="F22" i="49"/>
  <c r="G22" i="49" s="1"/>
  <c r="AA21" i="49"/>
  <c r="G21" i="49"/>
  <c r="AA20" i="49"/>
  <c r="F20" i="49"/>
  <c r="G20" i="49" s="1"/>
  <c r="AA19" i="49"/>
  <c r="F19" i="49"/>
  <c r="G19" i="49" s="1"/>
  <c r="AA18" i="49"/>
  <c r="F18" i="49"/>
  <c r="G18" i="49" s="1"/>
  <c r="AA17" i="49"/>
  <c r="F17" i="49"/>
  <c r="G17" i="49" s="1"/>
  <c r="AA16" i="49"/>
  <c r="F16" i="49"/>
  <c r="G16" i="49" s="1"/>
  <c r="AA15" i="49"/>
  <c r="F15" i="49"/>
  <c r="G15" i="49" s="1"/>
  <c r="AA14" i="49"/>
  <c r="F14" i="49"/>
  <c r="G14" i="49" s="1"/>
  <c r="AA13" i="49"/>
  <c r="F13" i="49"/>
  <c r="G13" i="49" s="1"/>
  <c r="AA12" i="49"/>
  <c r="F12" i="49"/>
  <c r="G12" i="49" s="1"/>
  <c r="AA11" i="49"/>
  <c r="F11" i="49"/>
  <c r="G11" i="49" s="1"/>
  <c r="AA10" i="49"/>
  <c r="F10" i="49"/>
  <c r="G10" i="49" s="1"/>
  <c r="AA9" i="49"/>
  <c r="F9" i="49"/>
  <c r="G9" i="49" s="1"/>
  <c r="AA8" i="49"/>
  <c r="F8" i="49"/>
  <c r="G8" i="49" s="1"/>
  <c r="G41" i="47"/>
  <c r="G40" i="47"/>
  <c r="G39" i="47"/>
  <c r="G38" i="47"/>
  <c r="N21" i="3" l="1"/>
  <c r="J21" i="3"/>
  <c r="BI14" i="4" s="1"/>
  <c r="BN14" i="4" s="1"/>
  <c r="F21" i="3"/>
  <c r="K21" i="3"/>
  <c r="BR14" i="4" s="1"/>
  <c r="BW14" i="4" s="1"/>
  <c r="G21" i="3"/>
  <c r="L21" i="3"/>
  <c r="H21" i="3"/>
  <c r="D21" i="3"/>
  <c r="M21" i="3"/>
  <c r="I21" i="3"/>
  <c r="E21" i="3"/>
  <c r="C14" i="4"/>
  <c r="AC9" i="49"/>
  <c r="H52" i="49"/>
  <c r="AC12" i="49"/>
  <c r="AC19" i="49"/>
  <c r="AC27" i="49"/>
  <c r="AC26" i="49"/>
  <c r="AC25" i="49"/>
  <c r="AC23" i="49"/>
  <c r="AC11" i="49"/>
  <c r="AC16" i="49"/>
  <c r="AC28" i="49"/>
  <c r="AC8" i="49"/>
  <c r="AC20" i="49"/>
  <c r="AC22" i="49"/>
  <c r="AC24" i="49"/>
  <c r="AC21" i="49"/>
  <c r="AC18" i="49"/>
  <c r="AC17" i="49"/>
  <c r="AC15" i="49"/>
  <c r="AC14" i="49"/>
  <c r="AC13" i="49"/>
  <c r="AA50" i="49"/>
  <c r="AC10" i="49"/>
  <c r="L59" i="49"/>
  <c r="AG10" i="50"/>
  <c r="AG8" i="50"/>
  <c r="G42" i="50"/>
  <c r="AG7" i="50"/>
  <c r="AG11" i="50"/>
  <c r="AG9" i="50"/>
  <c r="H6" i="50"/>
  <c r="H42" i="50" s="1"/>
  <c r="AE42" i="50"/>
  <c r="G50" i="49"/>
  <c r="F50" i="49"/>
  <c r="I52" i="49"/>
  <c r="BB12" i="4"/>
  <c r="BC12" i="4" s="1"/>
  <c r="BB10" i="4"/>
  <c r="AF40" i="48"/>
  <c r="AD40" i="48"/>
  <c r="AC40" i="48"/>
  <c r="AB40" i="48"/>
  <c r="AA40" i="48"/>
  <c r="Z40" i="48"/>
  <c r="Y40" i="48"/>
  <c r="X40" i="48"/>
  <c r="W40" i="48"/>
  <c r="V40" i="48"/>
  <c r="U40" i="48"/>
  <c r="T40" i="48"/>
  <c r="S40" i="48"/>
  <c r="R40" i="48"/>
  <c r="Q40" i="48"/>
  <c r="P40" i="48"/>
  <c r="O40" i="48"/>
  <c r="N40" i="48"/>
  <c r="BD18" i="4" s="1"/>
  <c r="K40" i="48"/>
  <c r="F40" i="48"/>
  <c r="AE37" i="48"/>
  <c r="G37" i="48"/>
  <c r="H37" i="48" s="1"/>
  <c r="AE36" i="48"/>
  <c r="G36" i="48"/>
  <c r="H36" i="48" s="1"/>
  <c r="AE35" i="48"/>
  <c r="G35" i="48"/>
  <c r="H35" i="48" s="1"/>
  <c r="AE34" i="48"/>
  <c r="G34" i="48"/>
  <c r="H34" i="48" s="1"/>
  <c r="AE33" i="48"/>
  <c r="G33" i="48"/>
  <c r="H33" i="48" s="1"/>
  <c r="AE32" i="48"/>
  <c r="G32" i="48"/>
  <c r="H32" i="48" s="1"/>
  <c r="AE31" i="48"/>
  <c r="H31" i="48"/>
  <c r="AE30" i="48"/>
  <c r="G30" i="48"/>
  <c r="H30" i="48" s="1"/>
  <c r="AE29" i="48"/>
  <c r="G29" i="48"/>
  <c r="H29" i="48" s="1"/>
  <c r="AE28" i="48"/>
  <c r="G28" i="48"/>
  <c r="H28" i="48" s="1"/>
  <c r="AE27" i="48"/>
  <c r="G27" i="48"/>
  <c r="H27" i="48" s="1"/>
  <c r="AE26" i="48"/>
  <c r="G26" i="48"/>
  <c r="H26" i="48" s="1"/>
  <c r="AE25" i="48"/>
  <c r="G25" i="48"/>
  <c r="H25" i="48" s="1"/>
  <c r="AE24" i="48"/>
  <c r="G24" i="48"/>
  <c r="H24" i="48" s="1"/>
  <c r="AE23" i="48"/>
  <c r="G23" i="48"/>
  <c r="H23" i="48" s="1"/>
  <c r="AE22" i="48"/>
  <c r="G22" i="48"/>
  <c r="H22" i="48" s="1"/>
  <c r="AE21" i="48"/>
  <c r="G21" i="48"/>
  <c r="H21" i="48" s="1"/>
  <c r="AE20" i="48"/>
  <c r="G20" i="48"/>
  <c r="H20" i="48" s="1"/>
  <c r="AE19" i="48"/>
  <c r="G19" i="48"/>
  <c r="H19" i="48" s="1"/>
  <c r="AE18" i="48"/>
  <c r="G18" i="48"/>
  <c r="H18" i="48" s="1"/>
  <c r="AE17" i="48"/>
  <c r="G17" i="48"/>
  <c r="H17" i="48" s="1"/>
  <c r="AE16" i="48"/>
  <c r="G16" i="48"/>
  <c r="H16" i="48" s="1"/>
  <c r="AE15" i="48"/>
  <c r="G15" i="48"/>
  <c r="H15" i="48" s="1"/>
  <c r="AE14" i="48"/>
  <c r="G14" i="48"/>
  <c r="H14" i="48" s="1"/>
  <c r="AE13" i="48"/>
  <c r="G13" i="48"/>
  <c r="H13" i="48" s="1"/>
  <c r="AE12" i="48"/>
  <c r="G12" i="48"/>
  <c r="H12" i="48" s="1"/>
  <c r="AE11" i="48"/>
  <c r="G11" i="48"/>
  <c r="H11" i="48" s="1"/>
  <c r="AE10" i="48"/>
  <c r="G10" i="48"/>
  <c r="H10" i="48" s="1"/>
  <c r="AE9" i="48"/>
  <c r="G9" i="48"/>
  <c r="AE8" i="48"/>
  <c r="G8" i="48"/>
  <c r="H8" i="48" s="1"/>
  <c r="AE7" i="48"/>
  <c r="G7" i="48"/>
  <c r="H7" i="48" s="1"/>
  <c r="AE6" i="48"/>
  <c r="G6" i="48"/>
  <c r="H6" i="48" s="1"/>
  <c r="Z48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M48" i="47"/>
  <c r="L48" i="47"/>
  <c r="K48" i="47"/>
  <c r="J48" i="47"/>
  <c r="I48" i="47"/>
  <c r="E48" i="47"/>
  <c r="AC46" i="47"/>
  <c r="AC45" i="47"/>
  <c r="AC44" i="47"/>
  <c r="AC43" i="47"/>
  <c r="AC42" i="47"/>
  <c r="AC41" i="47"/>
  <c r="AC40" i="47"/>
  <c r="AC39" i="47"/>
  <c r="AC38" i="47"/>
  <c r="F37" i="47"/>
  <c r="G37" i="47" s="1"/>
  <c r="AC37" i="47" s="1"/>
  <c r="F36" i="47"/>
  <c r="G36" i="47" s="1"/>
  <c r="F35" i="47"/>
  <c r="G35" i="47" s="1"/>
  <c r="AC35" i="47" s="1"/>
  <c r="G34" i="47"/>
  <c r="F33" i="47"/>
  <c r="G33" i="47" s="1"/>
  <c r="AC33" i="47" s="1"/>
  <c r="F32" i="47"/>
  <c r="G32" i="47" s="1"/>
  <c r="F31" i="47"/>
  <c r="G31" i="47" s="1"/>
  <c r="F30" i="47"/>
  <c r="G30" i="47" s="1"/>
  <c r="F29" i="47"/>
  <c r="G29" i="47" s="1"/>
  <c r="F28" i="47"/>
  <c r="G28" i="47" s="1"/>
  <c r="F27" i="47"/>
  <c r="G27" i="47" s="1"/>
  <c r="F26" i="47"/>
  <c r="G26" i="47" s="1"/>
  <c r="F25" i="47"/>
  <c r="G25" i="47" s="1"/>
  <c r="F24" i="47"/>
  <c r="G24" i="47" s="1"/>
  <c r="AC24" i="47" s="1"/>
  <c r="F23" i="47"/>
  <c r="G23" i="47" s="1"/>
  <c r="F22" i="47"/>
  <c r="G22" i="47" s="1"/>
  <c r="AC22" i="47" s="1"/>
  <c r="F21" i="47"/>
  <c r="G21" i="47" s="1"/>
  <c r="F20" i="47"/>
  <c r="G20" i="47" s="1"/>
  <c r="F19" i="47"/>
  <c r="G19" i="47" s="1"/>
  <c r="F18" i="47"/>
  <c r="G18" i="47" s="1"/>
  <c r="F17" i="47"/>
  <c r="G17" i="47" s="1"/>
  <c r="F16" i="47"/>
  <c r="G16" i="47" s="1"/>
  <c r="AC16" i="47" s="1"/>
  <c r="F15" i="47"/>
  <c r="G15" i="47" s="1"/>
  <c r="AC15" i="47" s="1"/>
  <c r="F14" i="47"/>
  <c r="G14" i="47" s="1"/>
  <c r="AC14" i="47" s="1"/>
  <c r="F13" i="47"/>
  <c r="G13" i="47" s="1"/>
  <c r="AC13" i="47" s="1"/>
  <c r="F12" i="47"/>
  <c r="G12" i="47" s="1"/>
  <c r="AC12" i="47" s="1"/>
  <c r="F11" i="47"/>
  <c r="G11" i="47" s="1"/>
  <c r="G10" i="47"/>
  <c r="AC10" i="47" s="1"/>
  <c r="F9" i="47"/>
  <c r="G9" i="47" s="1"/>
  <c r="F8" i="47"/>
  <c r="G8" i="47" s="1"/>
  <c r="AC8" i="47" s="1"/>
  <c r="AV12" i="4"/>
  <c r="G41" i="45"/>
  <c r="G19" i="1"/>
  <c r="CS14" i="4" l="1"/>
  <c r="CX14" i="4" s="1"/>
  <c r="AZ14" i="4"/>
  <c r="BE14" i="4" s="1"/>
  <c r="CA14" i="4"/>
  <c r="CF14" i="4" s="1"/>
  <c r="AQ14" i="4"/>
  <c r="AV14" i="4" s="1"/>
  <c r="E14" i="4"/>
  <c r="Y14" i="4"/>
  <c r="AD14" i="4" s="1"/>
  <c r="CJ14" i="4"/>
  <c r="CO14" i="4" s="1"/>
  <c r="AH14" i="4"/>
  <c r="AM14" i="4" s="1"/>
  <c r="P14" i="4"/>
  <c r="AG7" i="48"/>
  <c r="AG34" i="48"/>
  <c r="AC50" i="49"/>
  <c r="K19" i="1"/>
  <c r="DR13" i="4" s="1"/>
  <c r="DT13" i="4" s="1"/>
  <c r="J19" i="1"/>
  <c r="C20" i="3" s="1"/>
  <c r="AG6" i="50"/>
  <c r="AG42" i="50" s="1"/>
  <c r="BC10" i="4"/>
  <c r="BB11" i="4"/>
  <c r="BC11" i="4" s="1"/>
  <c r="BB8" i="4"/>
  <c r="BC8" i="4" s="1"/>
  <c r="BB7" i="4"/>
  <c r="BC7" i="4" s="1"/>
  <c r="BB9" i="4"/>
  <c r="BC9" i="4" s="1"/>
  <c r="AG37" i="48"/>
  <c r="AG36" i="48"/>
  <c r="AG35" i="48"/>
  <c r="AG33" i="48"/>
  <c r="AG32" i="48"/>
  <c r="AG31" i="48"/>
  <c r="AG30" i="48"/>
  <c r="AG29" i="48"/>
  <c r="AG28" i="48"/>
  <c r="AG27" i="48"/>
  <c r="AG26" i="48"/>
  <c r="AG25" i="48"/>
  <c r="AG24" i="48"/>
  <c r="AG23" i="48"/>
  <c r="AG22" i="48"/>
  <c r="AG21" i="48"/>
  <c r="AG20" i="48"/>
  <c r="AG19" i="48"/>
  <c r="AG18" i="48"/>
  <c r="AG17" i="48"/>
  <c r="AG16" i="48"/>
  <c r="AG15" i="48"/>
  <c r="AG14" i="48"/>
  <c r="AG13" i="48"/>
  <c r="AG12" i="48"/>
  <c r="AG11" i="48"/>
  <c r="G40" i="48"/>
  <c r="AG10" i="48"/>
  <c r="H9" i="48"/>
  <c r="AG9" i="48" s="1"/>
  <c r="AG8" i="48"/>
  <c r="AG6" i="48"/>
  <c r="H48" i="47"/>
  <c r="BA18" i="4" s="1"/>
  <c r="AC36" i="47"/>
  <c r="AC34" i="47"/>
  <c r="AC32" i="47"/>
  <c r="AC31" i="47"/>
  <c r="AC30" i="47"/>
  <c r="AC29" i="47"/>
  <c r="AC28" i="47"/>
  <c r="AC27" i="47"/>
  <c r="AC25" i="47"/>
  <c r="AC23" i="47"/>
  <c r="AC21" i="47"/>
  <c r="AC20" i="47"/>
  <c r="AC19" i="47"/>
  <c r="AC18" i="47"/>
  <c r="L57" i="47"/>
  <c r="AC17" i="47"/>
  <c r="AC11" i="47"/>
  <c r="AC9" i="47"/>
  <c r="AE40" i="48"/>
  <c r="F48" i="47"/>
  <c r="AC26" i="47"/>
  <c r="G48" i="47"/>
  <c r="I50" i="47"/>
  <c r="G17" i="1"/>
  <c r="J17" i="1" s="1"/>
  <c r="C18" i="3" s="1"/>
  <c r="AS9" i="4"/>
  <c r="AT9" i="4" s="1"/>
  <c r="AS7" i="4"/>
  <c r="AT7" i="4" s="1"/>
  <c r="AF41" i="46"/>
  <c r="AD41" i="46"/>
  <c r="AC41" i="46"/>
  <c r="AB41" i="46"/>
  <c r="AA41" i="46"/>
  <c r="Z41" i="46"/>
  <c r="Y41" i="46"/>
  <c r="X41" i="46"/>
  <c r="W41" i="46"/>
  <c r="V41" i="46"/>
  <c r="U41" i="46"/>
  <c r="T41" i="46"/>
  <c r="S41" i="46"/>
  <c r="R41" i="46"/>
  <c r="Q41" i="46"/>
  <c r="P41" i="46"/>
  <c r="O41" i="46"/>
  <c r="N41" i="46"/>
  <c r="AU18" i="4" s="1"/>
  <c r="AE37" i="46"/>
  <c r="AG37" i="46" s="1"/>
  <c r="AE36" i="46"/>
  <c r="AG36" i="46" s="1"/>
  <c r="AE35" i="46"/>
  <c r="AE34" i="46"/>
  <c r="AE31" i="46"/>
  <c r="AE30" i="46"/>
  <c r="AE28" i="46"/>
  <c r="AE27" i="46"/>
  <c r="AE26" i="46"/>
  <c r="AE7" i="46"/>
  <c r="F40" i="45"/>
  <c r="G40" i="45" s="1"/>
  <c r="F39" i="45"/>
  <c r="G39" i="45" s="1"/>
  <c r="F38" i="45"/>
  <c r="G38" i="45" s="1"/>
  <c r="F37" i="45"/>
  <c r="G37" i="45" s="1"/>
  <c r="F36" i="45"/>
  <c r="G36" i="45" s="1"/>
  <c r="AA35" i="45"/>
  <c r="F35" i="45"/>
  <c r="AA34" i="45"/>
  <c r="F34" i="45"/>
  <c r="AA33" i="45"/>
  <c r="F33" i="45"/>
  <c r="AA32" i="45"/>
  <c r="F32" i="45"/>
  <c r="AA31" i="45"/>
  <c r="F30" i="45"/>
  <c r="K41" i="46"/>
  <c r="F41" i="46"/>
  <c r="AE33" i="46"/>
  <c r="AE32" i="46"/>
  <c r="AE29" i="46"/>
  <c r="AE25" i="46"/>
  <c r="AE24" i="46"/>
  <c r="AE23" i="46"/>
  <c r="AE22" i="46"/>
  <c r="AE21" i="46"/>
  <c r="AE20" i="46"/>
  <c r="AE19" i="46"/>
  <c r="AE18" i="46"/>
  <c r="AE17" i="46"/>
  <c r="AE16" i="46"/>
  <c r="AE15" i="46"/>
  <c r="AE14" i="46"/>
  <c r="AE13" i="46"/>
  <c r="AE12" i="46"/>
  <c r="AE11" i="46"/>
  <c r="AE10" i="46"/>
  <c r="AE9" i="46"/>
  <c r="AE8" i="46"/>
  <c r="AE6" i="46"/>
  <c r="Z52" i="45"/>
  <c r="Y52" i="45"/>
  <c r="X52" i="45"/>
  <c r="W52" i="45"/>
  <c r="V52" i="45"/>
  <c r="U52" i="45"/>
  <c r="T52" i="45"/>
  <c r="S52" i="45"/>
  <c r="R52" i="45"/>
  <c r="Q52" i="45"/>
  <c r="P52" i="45"/>
  <c r="O52" i="45"/>
  <c r="N52" i="45"/>
  <c r="M52" i="45"/>
  <c r="L52" i="45"/>
  <c r="K52" i="45"/>
  <c r="AS8" i="4" s="1"/>
  <c r="AT8" i="4" s="1"/>
  <c r="J52" i="45"/>
  <c r="I52" i="45"/>
  <c r="E52" i="45"/>
  <c r="AA50" i="45"/>
  <c r="AC50" i="45" s="1"/>
  <c r="AA49" i="45"/>
  <c r="AC49" i="45" s="1"/>
  <c r="AA48" i="45"/>
  <c r="AC48" i="45" s="1"/>
  <c r="AA47" i="45"/>
  <c r="AC47" i="45" s="1"/>
  <c r="AA46" i="45"/>
  <c r="AC46" i="45" s="1"/>
  <c r="AA45" i="45"/>
  <c r="AC45" i="45" s="1"/>
  <c r="AA44" i="45"/>
  <c r="AC44" i="45" s="1"/>
  <c r="AA43" i="45"/>
  <c r="AC43" i="45" s="1"/>
  <c r="AA42" i="45"/>
  <c r="AC42" i="45" s="1"/>
  <c r="AA41" i="45"/>
  <c r="AC41" i="45" s="1"/>
  <c r="AA40" i="45"/>
  <c r="AA39" i="45"/>
  <c r="AA38" i="45"/>
  <c r="AA37" i="45"/>
  <c r="AA36" i="45"/>
  <c r="G35" i="45"/>
  <c r="G34" i="45"/>
  <c r="G33" i="45"/>
  <c r="G32" i="45"/>
  <c r="F31" i="45"/>
  <c r="G31" i="45" s="1"/>
  <c r="AA30" i="45"/>
  <c r="G30" i="45"/>
  <c r="AA29" i="45"/>
  <c r="F29" i="45"/>
  <c r="G29" i="45" s="1"/>
  <c r="AA28" i="45"/>
  <c r="F28" i="45"/>
  <c r="G28" i="45" s="1"/>
  <c r="AA27" i="45"/>
  <c r="F27" i="45"/>
  <c r="G27" i="45" s="1"/>
  <c r="AA26" i="45"/>
  <c r="F26" i="45"/>
  <c r="G26" i="45" s="1"/>
  <c r="AA25" i="45"/>
  <c r="F25" i="45"/>
  <c r="G25" i="45" s="1"/>
  <c r="AA24" i="45"/>
  <c r="F24" i="45"/>
  <c r="G24" i="45" s="1"/>
  <c r="AA23" i="45"/>
  <c r="F23" i="45"/>
  <c r="G23" i="45" s="1"/>
  <c r="AA22" i="45"/>
  <c r="F22" i="45"/>
  <c r="G22" i="45" s="1"/>
  <c r="AA21" i="45"/>
  <c r="F21" i="45"/>
  <c r="G21" i="45" s="1"/>
  <c r="AA20" i="45"/>
  <c r="F20" i="45"/>
  <c r="G20" i="45" s="1"/>
  <c r="AA19" i="45"/>
  <c r="F19" i="45"/>
  <c r="G19" i="45" s="1"/>
  <c r="AA18" i="45"/>
  <c r="F18" i="45"/>
  <c r="G18" i="45" s="1"/>
  <c r="AA17" i="45"/>
  <c r="F17" i="45"/>
  <c r="G17" i="45" s="1"/>
  <c r="AA16" i="45"/>
  <c r="F16" i="45"/>
  <c r="G16" i="45" s="1"/>
  <c r="AA15" i="45"/>
  <c r="F15" i="45"/>
  <c r="G15" i="45" s="1"/>
  <c r="AA14" i="45"/>
  <c r="F14" i="45"/>
  <c r="G14" i="45" s="1"/>
  <c r="AA13" i="45"/>
  <c r="F13" i="45"/>
  <c r="G13" i="45" s="1"/>
  <c r="AA12" i="45"/>
  <c r="F12" i="45"/>
  <c r="G12" i="45" s="1"/>
  <c r="AA11" i="45"/>
  <c r="F11" i="45"/>
  <c r="G11" i="45" s="1"/>
  <c r="AA10" i="45"/>
  <c r="F10" i="45"/>
  <c r="G10" i="45" s="1"/>
  <c r="AA9" i="45"/>
  <c r="F9" i="45"/>
  <c r="G9" i="45" s="1"/>
  <c r="AA8" i="45"/>
  <c r="F8" i="45"/>
  <c r="G8" i="45" s="1"/>
  <c r="DN14" i="4" l="1"/>
  <c r="D20" i="3"/>
  <c r="E20" i="3"/>
  <c r="F20" i="3"/>
  <c r="M18" i="3"/>
  <c r="I18" i="3"/>
  <c r="E18" i="3"/>
  <c r="N18" i="3"/>
  <c r="J18" i="3"/>
  <c r="BI11" i="4" s="1"/>
  <c r="BN11" i="4" s="1"/>
  <c r="F18" i="3"/>
  <c r="K18" i="3"/>
  <c r="BR11" i="4" s="1"/>
  <c r="BW11" i="4" s="1"/>
  <c r="G18" i="3"/>
  <c r="L18" i="3"/>
  <c r="H18" i="3"/>
  <c r="D18" i="3"/>
  <c r="AE41" i="46"/>
  <c r="BR13" i="4"/>
  <c r="BW13" i="4" s="1"/>
  <c r="C13" i="4"/>
  <c r="BI13" i="4"/>
  <c r="BN13" i="4" s="1"/>
  <c r="AC34" i="45"/>
  <c r="AC33" i="45"/>
  <c r="C11" i="4"/>
  <c r="J14" i="4"/>
  <c r="H40" i="48"/>
  <c r="AC23" i="45"/>
  <c r="AC25" i="45"/>
  <c r="AC32" i="45"/>
  <c r="AC35" i="45"/>
  <c r="K17" i="1"/>
  <c r="DR11" i="4" s="1"/>
  <c r="DT11" i="4" s="1"/>
  <c r="AG34" i="46"/>
  <c r="M19" i="1"/>
  <c r="H50" i="47"/>
  <c r="AG40" i="48"/>
  <c r="AA48" i="47"/>
  <c r="AC48" i="47"/>
  <c r="AS11" i="4"/>
  <c r="AT11" i="4" s="1"/>
  <c r="AS10" i="4"/>
  <c r="AT10" i="4" s="1"/>
  <c r="M17" i="1"/>
  <c r="AG35" i="46"/>
  <c r="AG30" i="46"/>
  <c r="AG31" i="46"/>
  <c r="AG28" i="46"/>
  <c r="AG27" i="46"/>
  <c r="AG26" i="46"/>
  <c r="AG32" i="46"/>
  <c r="AG29" i="46"/>
  <c r="AG33" i="46"/>
  <c r="AG7" i="46"/>
  <c r="AG6" i="46"/>
  <c r="AG18" i="46"/>
  <c r="AG8" i="46"/>
  <c r="AG25" i="46"/>
  <c r="AG24" i="46"/>
  <c r="AG23" i="46"/>
  <c r="AG22" i="46"/>
  <c r="AG21" i="46"/>
  <c r="AG20" i="46"/>
  <c r="AG19" i="46"/>
  <c r="AG17" i="46"/>
  <c r="AG16" i="46"/>
  <c r="AG15" i="46"/>
  <c r="AG14" i="46"/>
  <c r="AG13" i="46"/>
  <c r="AG12" i="46"/>
  <c r="AG11" i="46"/>
  <c r="AG10" i="46"/>
  <c r="AG9" i="46"/>
  <c r="G41" i="46"/>
  <c r="AC40" i="45"/>
  <c r="AC39" i="45"/>
  <c r="AC38" i="45"/>
  <c r="AC37" i="45"/>
  <c r="AC36" i="45"/>
  <c r="AC31" i="45"/>
  <c r="AC30" i="45"/>
  <c r="AC29" i="45"/>
  <c r="AC28" i="45"/>
  <c r="AC27" i="45"/>
  <c r="AC26" i="45"/>
  <c r="AC24" i="45"/>
  <c r="AC22" i="45"/>
  <c r="AC21" i="45"/>
  <c r="AC20" i="45"/>
  <c r="H52" i="45"/>
  <c r="AC19" i="45"/>
  <c r="AC18" i="45"/>
  <c r="AC17" i="45"/>
  <c r="AC16" i="45"/>
  <c r="AC15" i="45"/>
  <c r="AC14" i="45"/>
  <c r="AC13" i="45"/>
  <c r="AC12" i="45"/>
  <c r="AC11" i="45"/>
  <c r="AC10" i="45"/>
  <c r="AA52" i="45"/>
  <c r="AC9" i="45"/>
  <c r="AC8" i="45"/>
  <c r="L61" i="45"/>
  <c r="I54" i="45"/>
  <c r="H41" i="46"/>
  <c r="F52" i="45"/>
  <c r="G52" i="45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8" i="43"/>
  <c r="AE28" i="44"/>
  <c r="AE27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N31" i="44"/>
  <c r="AL18" i="4" s="1"/>
  <c r="DJ18" i="4" s="1"/>
  <c r="G28" i="44"/>
  <c r="H28" i="44" s="1"/>
  <c r="O31" i="44"/>
  <c r="G27" i="44"/>
  <c r="H27" i="44" s="1"/>
  <c r="DO14" i="4" l="1"/>
  <c r="H54" i="45"/>
  <c r="AR18" i="4"/>
  <c r="CS11" i="4"/>
  <c r="CX11" i="4" s="1"/>
  <c r="CJ11" i="4"/>
  <c r="CO11" i="4" s="1"/>
  <c r="AH11" i="4"/>
  <c r="AM11" i="4" s="1"/>
  <c r="AQ11" i="4"/>
  <c r="AV11" i="4" s="1"/>
  <c r="CA11" i="4"/>
  <c r="CF11" i="4" s="1"/>
  <c r="Y11" i="4"/>
  <c r="AD11" i="4" s="1"/>
  <c r="P11" i="4"/>
  <c r="E11" i="4"/>
  <c r="AZ11" i="4"/>
  <c r="BE11" i="4" s="1"/>
  <c r="CS13" i="4"/>
  <c r="CX13" i="4" s="1"/>
  <c r="AM13" i="4"/>
  <c r="AV13" i="4"/>
  <c r="CA13" i="4"/>
  <c r="CF13" i="4" s="1"/>
  <c r="E13" i="4"/>
  <c r="AD13" i="4"/>
  <c r="CJ13" i="4"/>
  <c r="CO13" i="4" s="1"/>
  <c r="AZ13" i="4"/>
  <c r="BE13" i="4" s="1"/>
  <c r="P13" i="4"/>
  <c r="AG41" i="46"/>
  <c r="AZ12" i="4"/>
  <c r="DN12" i="4" s="1"/>
  <c r="BW12" i="4"/>
  <c r="BN12" i="4"/>
  <c r="AC52" i="45"/>
  <c r="H52" i="43"/>
  <c r="AI18" i="4" s="1"/>
  <c r="G30" i="43"/>
  <c r="AC30" i="43" s="1"/>
  <c r="G32" i="43"/>
  <c r="AC32" i="43" s="1"/>
  <c r="G33" i="43"/>
  <c r="AC33" i="43" s="1"/>
  <c r="G34" i="43"/>
  <c r="G35" i="43"/>
  <c r="AC35" i="43" s="1"/>
  <c r="F9" i="43"/>
  <c r="G9" i="43" s="1"/>
  <c r="AC9" i="43" s="1"/>
  <c r="F10" i="43"/>
  <c r="G10" i="43" s="1"/>
  <c r="AC10" i="43" s="1"/>
  <c r="F11" i="43"/>
  <c r="F12" i="43"/>
  <c r="G12" i="43" s="1"/>
  <c r="AC12" i="43" s="1"/>
  <c r="F13" i="43"/>
  <c r="G13" i="43" s="1"/>
  <c r="AC13" i="43" s="1"/>
  <c r="F14" i="43"/>
  <c r="G14" i="43" s="1"/>
  <c r="AC14" i="43" s="1"/>
  <c r="F15" i="43"/>
  <c r="G15" i="43" s="1"/>
  <c r="AC15" i="43" s="1"/>
  <c r="F16" i="43"/>
  <c r="G16" i="43" s="1"/>
  <c r="AC16" i="43" s="1"/>
  <c r="F17" i="43"/>
  <c r="G17" i="43" s="1"/>
  <c r="AC17" i="43" s="1"/>
  <c r="F18" i="43"/>
  <c r="G18" i="43" s="1"/>
  <c r="AC18" i="43" s="1"/>
  <c r="F19" i="43"/>
  <c r="G19" i="43" s="1"/>
  <c r="AC19" i="43" s="1"/>
  <c r="F20" i="43"/>
  <c r="G20" i="43" s="1"/>
  <c r="AC20" i="43" s="1"/>
  <c r="F21" i="43"/>
  <c r="G21" i="43" s="1"/>
  <c r="AC21" i="43" s="1"/>
  <c r="F22" i="43"/>
  <c r="G22" i="43" s="1"/>
  <c r="AC22" i="43" s="1"/>
  <c r="F23" i="43"/>
  <c r="G23" i="43" s="1"/>
  <c r="AC23" i="43" s="1"/>
  <c r="F24" i="43"/>
  <c r="G24" i="43" s="1"/>
  <c r="AC24" i="43" s="1"/>
  <c r="F25" i="43"/>
  <c r="G25" i="43" s="1"/>
  <c r="AC25" i="43" s="1"/>
  <c r="F26" i="43"/>
  <c r="G26" i="43" s="1"/>
  <c r="AC26" i="43" s="1"/>
  <c r="F27" i="43"/>
  <c r="G27" i="43" s="1"/>
  <c r="AC27" i="43" s="1"/>
  <c r="F28" i="43"/>
  <c r="G28" i="43" s="1"/>
  <c r="AC28" i="43" s="1"/>
  <c r="F29" i="43"/>
  <c r="G29" i="43" s="1"/>
  <c r="AC29" i="43" s="1"/>
  <c r="F31" i="43"/>
  <c r="G31" i="43" s="1"/>
  <c r="AC31" i="43" s="1"/>
  <c r="F8" i="43"/>
  <c r="G8" i="43" s="1"/>
  <c r="AC8" i="43" s="1"/>
  <c r="G26" i="44"/>
  <c r="H26" i="44" s="1"/>
  <c r="AE8" i="44"/>
  <c r="AE9" i="44"/>
  <c r="AE10" i="44"/>
  <c r="AE11" i="44"/>
  <c r="AE12" i="44"/>
  <c r="AE13" i="44"/>
  <c r="AE14" i="44"/>
  <c r="AE15" i="44"/>
  <c r="AE16" i="44"/>
  <c r="AE17" i="44"/>
  <c r="AE18" i="44"/>
  <c r="AE19" i="44"/>
  <c r="AE20" i="44"/>
  <c r="AE21" i="44"/>
  <c r="AE22" i="44"/>
  <c r="AE23" i="44"/>
  <c r="AE24" i="44"/>
  <c r="AE25" i="44"/>
  <c r="AE26" i="44"/>
  <c r="AE6" i="44"/>
  <c r="H7" i="44"/>
  <c r="G8" i="44"/>
  <c r="H8" i="44" s="1"/>
  <c r="G9" i="44"/>
  <c r="H9" i="44" s="1"/>
  <c r="G10" i="44"/>
  <c r="H10" i="44" s="1"/>
  <c r="G11" i="44"/>
  <c r="H11" i="44" s="1"/>
  <c r="G12" i="44"/>
  <c r="H12" i="44" s="1"/>
  <c r="G13" i="44"/>
  <c r="H13" i="44" s="1"/>
  <c r="H14" i="44"/>
  <c r="H15" i="44"/>
  <c r="H16" i="44"/>
  <c r="H17" i="44"/>
  <c r="G18" i="44"/>
  <c r="H18" i="44" s="1"/>
  <c r="G19" i="44"/>
  <c r="H19" i="44" s="1"/>
  <c r="G20" i="44"/>
  <c r="H20" i="44" s="1"/>
  <c r="G21" i="44"/>
  <c r="H21" i="44" s="1"/>
  <c r="G22" i="44"/>
  <c r="H22" i="44" s="1"/>
  <c r="G23" i="44"/>
  <c r="H23" i="44" s="1"/>
  <c r="G24" i="44"/>
  <c r="H24" i="44" s="1"/>
  <c r="G25" i="44"/>
  <c r="H25" i="44" s="1"/>
  <c r="G6" i="44"/>
  <c r="H6" i="44" s="1"/>
  <c r="K31" i="44"/>
  <c r="F31" i="44"/>
  <c r="Z52" i="43"/>
  <c r="Y52" i="43"/>
  <c r="X52" i="43"/>
  <c r="W52" i="43"/>
  <c r="V52" i="43"/>
  <c r="U52" i="43"/>
  <c r="T52" i="43"/>
  <c r="S52" i="43"/>
  <c r="AJ9" i="4" s="1"/>
  <c r="AK9" i="4" s="1"/>
  <c r="R52" i="43"/>
  <c r="Q52" i="43"/>
  <c r="P52" i="43"/>
  <c r="O52" i="43"/>
  <c r="N52" i="43"/>
  <c r="M52" i="43"/>
  <c r="L52" i="43"/>
  <c r="K52" i="43"/>
  <c r="J52" i="43"/>
  <c r="I52" i="43"/>
  <c r="E52" i="43"/>
  <c r="AA50" i="43"/>
  <c r="AC50" i="43" s="1"/>
  <c r="AA49" i="43"/>
  <c r="AC49" i="43" s="1"/>
  <c r="AA48" i="43"/>
  <c r="AC48" i="43" s="1"/>
  <c r="AA47" i="43"/>
  <c r="AC47" i="43" s="1"/>
  <c r="AA46" i="43"/>
  <c r="AC46" i="43" s="1"/>
  <c r="AA45" i="43"/>
  <c r="AC45" i="43" s="1"/>
  <c r="AA44" i="43"/>
  <c r="AC44" i="43" s="1"/>
  <c r="AA43" i="43"/>
  <c r="AC43" i="43" s="1"/>
  <c r="AA42" i="43"/>
  <c r="AC42" i="43" s="1"/>
  <c r="AA41" i="43"/>
  <c r="AC41" i="43" s="1"/>
  <c r="AA40" i="43"/>
  <c r="AC40" i="43" s="1"/>
  <c r="AA39" i="43"/>
  <c r="AC39" i="43" s="1"/>
  <c r="AA38" i="43"/>
  <c r="AC38" i="43" s="1"/>
  <c r="AA37" i="43"/>
  <c r="AC37" i="43" s="1"/>
  <c r="AA36" i="43"/>
  <c r="AC34" i="43"/>
  <c r="F34" i="42"/>
  <c r="F33" i="42"/>
  <c r="G33" i="42" s="1"/>
  <c r="F32" i="42"/>
  <c r="G32" i="42" s="1"/>
  <c r="F31" i="42"/>
  <c r="G31" i="42" s="1"/>
  <c r="AE22" i="41"/>
  <c r="AE21" i="41"/>
  <c r="AE20" i="41"/>
  <c r="AE19" i="41"/>
  <c r="AE18" i="41"/>
  <c r="AE17" i="41"/>
  <c r="F27" i="42"/>
  <c r="G27" i="42" s="1"/>
  <c r="F21" i="42"/>
  <c r="G21" i="42" s="1"/>
  <c r="F20" i="42"/>
  <c r="G20" i="42" s="1"/>
  <c r="F19" i="42"/>
  <c r="G19" i="42" s="1"/>
  <c r="I57" i="42"/>
  <c r="AA50" i="42"/>
  <c r="AC50" i="42" s="1"/>
  <c r="AA49" i="42"/>
  <c r="AC49" i="42" s="1"/>
  <c r="AA48" i="42"/>
  <c r="AC48" i="42" s="1"/>
  <c r="AA47" i="42"/>
  <c r="AC47" i="42" s="1"/>
  <c r="AA46" i="42"/>
  <c r="AC46" i="42" s="1"/>
  <c r="AA45" i="42"/>
  <c r="AA44" i="42"/>
  <c r="AA43" i="42"/>
  <c r="AC43" i="42" s="1"/>
  <c r="AA42" i="42"/>
  <c r="AC42" i="42" s="1"/>
  <c r="AA41" i="42"/>
  <c r="AC41" i="42" s="1"/>
  <c r="AA40" i="42"/>
  <c r="AC40" i="42" s="1"/>
  <c r="AA39" i="42"/>
  <c r="AC39" i="42" s="1"/>
  <c r="AA38" i="42"/>
  <c r="AC38" i="42" s="1"/>
  <c r="AA37" i="42"/>
  <c r="AC37" i="42" s="1"/>
  <c r="AA36" i="42"/>
  <c r="AC36" i="42" s="1"/>
  <c r="AA35" i="42"/>
  <c r="AA34" i="42"/>
  <c r="AA33" i="42"/>
  <c r="AA32" i="42"/>
  <c r="AA31" i="42"/>
  <c r="AA30" i="42"/>
  <c r="F30" i="42"/>
  <c r="G30" i="42" s="1"/>
  <c r="AA29" i="42"/>
  <c r="F29" i="42"/>
  <c r="G29" i="42" s="1"/>
  <c r="AA28" i="42"/>
  <c r="F28" i="42"/>
  <c r="G28" i="42" s="1"/>
  <c r="AA27" i="42"/>
  <c r="AA26" i="42"/>
  <c r="G26" i="42"/>
  <c r="AA25" i="42"/>
  <c r="F25" i="42"/>
  <c r="G25" i="42" s="1"/>
  <c r="AA24" i="42"/>
  <c r="F24" i="42"/>
  <c r="G24" i="42" s="1"/>
  <c r="AA23" i="42"/>
  <c r="F23" i="42"/>
  <c r="G23" i="42" s="1"/>
  <c r="AA22" i="42"/>
  <c r="F22" i="42"/>
  <c r="G22" i="42" s="1"/>
  <c r="AA21" i="42"/>
  <c r="AA20" i="42"/>
  <c r="AA19" i="42"/>
  <c r="AA18" i="42"/>
  <c r="F18" i="42"/>
  <c r="G18" i="42" s="1"/>
  <c r="AA17" i="42"/>
  <c r="F17" i="42"/>
  <c r="G17" i="42" s="1"/>
  <c r="AA16" i="42"/>
  <c r="F16" i="42"/>
  <c r="G16" i="42" s="1"/>
  <c r="AA15" i="42"/>
  <c r="F15" i="42"/>
  <c r="G15" i="42" s="1"/>
  <c r="F14" i="42"/>
  <c r="G14" i="42" s="1"/>
  <c r="AA13" i="42"/>
  <c r="F13" i="42"/>
  <c r="G13" i="42" s="1"/>
  <c r="AA12" i="42"/>
  <c r="F12" i="42"/>
  <c r="AA11" i="42"/>
  <c r="F11" i="42"/>
  <c r="G11" i="42" s="1"/>
  <c r="AA10" i="42"/>
  <c r="F10" i="42"/>
  <c r="G10" i="42" s="1"/>
  <c r="AA9" i="42"/>
  <c r="F9" i="42"/>
  <c r="G9" i="42" s="1"/>
  <c r="AA8" i="42"/>
  <c r="F8" i="42"/>
  <c r="Y53" i="38"/>
  <c r="X53" i="38"/>
  <c r="W53" i="38"/>
  <c r="Q25" i="4" s="1"/>
  <c r="V53" i="38"/>
  <c r="Q27" i="4" s="1"/>
  <c r="U53" i="38"/>
  <c r="Q26" i="4" s="1"/>
  <c r="S53" i="38"/>
  <c r="E16" i="6" s="1"/>
  <c r="Q16" i="4" s="1"/>
  <c r="U16" i="4" s="1"/>
  <c r="R53" i="38"/>
  <c r="E15" i="6" s="1"/>
  <c r="Q15" i="4" s="1"/>
  <c r="U15" i="4" s="1"/>
  <c r="Q53" i="38"/>
  <c r="E14" i="6" s="1"/>
  <c r="Q14" i="4" s="1"/>
  <c r="P53" i="38"/>
  <c r="E13" i="6" s="1"/>
  <c r="Q13" i="4" s="1"/>
  <c r="DI13" i="4" s="1"/>
  <c r="O53" i="38"/>
  <c r="E12" i="6" s="1"/>
  <c r="Q12" i="4" s="1"/>
  <c r="N53" i="38"/>
  <c r="E11" i="6" s="1"/>
  <c r="Q11" i="4" s="1"/>
  <c r="DI11" i="4" s="1"/>
  <c r="M53" i="38"/>
  <c r="E10" i="6" s="1"/>
  <c r="Q10" i="4" s="1"/>
  <c r="DI10" i="4" s="1"/>
  <c r="DL10" i="4" s="1"/>
  <c r="L53" i="38"/>
  <c r="E9" i="6" s="1"/>
  <c r="Q9" i="4" s="1"/>
  <c r="I53" i="38"/>
  <c r="E53" i="38"/>
  <c r="AE7" i="41"/>
  <c r="G7" i="41"/>
  <c r="G10" i="41"/>
  <c r="H10" i="41" s="1"/>
  <c r="G27" i="41"/>
  <c r="H27" i="41" s="1"/>
  <c r="AG27" i="41" s="1"/>
  <c r="G26" i="41"/>
  <c r="H26" i="41" s="1"/>
  <c r="AG26" i="41" s="1"/>
  <c r="G25" i="41"/>
  <c r="H25" i="41" s="1"/>
  <c r="AG25" i="41" s="1"/>
  <c r="G24" i="41"/>
  <c r="H24" i="41" s="1"/>
  <c r="AG24" i="41" s="1"/>
  <c r="H23" i="41"/>
  <c r="AG23" i="41" s="1"/>
  <c r="G22" i="41"/>
  <c r="H22" i="41" s="1"/>
  <c r="G21" i="41"/>
  <c r="H21" i="41" s="1"/>
  <c r="G20" i="41"/>
  <c r="H20" i="41" s="1"/>
  <c r="G19" i="41"/>
  <c r="H19" i="41" s="1"/>
  <c r="G18" i="41"/>
  <c r="H18" i="41" s="1"/>
  <c r="G17" i="41"/>
  <c r="H17" i="41" s="1"/>
  <c r="AE16" i="41"/>
  <c r="G16" i="41"/>
  <c r="H16" i="41" s="1"/>
  <c r="AE15" i="41"/>
  <c r="G15" i="41"/>
  <c r="H15" i="41" s="1"/>
  <c r="AE14" i="41"/>
  <c r="G14" i="41"/>
  <c r="H14" i="41" s="1"/>
  <c r="AE13" i="41"/>
  <c r="G13" i="41"/>
  <c r="H13" i="41" s="1"/>
  <c r="AE12" i="41"/>
  <c r="G12" i="41"/>
  <c r="H12" i="41" s="1"/>
  <c r="AE11" i="41"/>
  <c r="G11" i="41"/>
  <c r="H11" i="41" s="1"/>
  <c r="AE10" i="41"/>
  <c r="AE9" i="41"/>
  <c r="G9" i="41"/>
  <c r="H9" i="41" s="1"/>
  <c r="AE6" i="41"/>
  <c r="AE58" i="41" s="1"/>
  <c r="G58" i="41" l="1"/>
  <c r="DL11" i="4"/>
  <c r="DM11" i="4"/>
  <c r="DI12" i="4"/>
  <c r="U12" i="4"/>
  <c r="DL13" i="4"/>
  <c r="DM13" i="4"/>
  <c r="DI14" i="4"/>
  <c r="U14" i="4"/>
  <c r="U13" i="4"/>
  <c r="U11" i="4"/>
  <c r="G34" i="42"/>
  <c r="F55" i="42"/>
  <c r="AC45" i="42"/>
  <c r="AA55" i="42"/>
  <c r="H7" i="41"/>
  <c r="H58" i="41" s="1"/>
  <c r="J11" i="4"/>
  <c r="DN11" i="4"/>
  <c r="J13" i="4"/>
  <c r="DN13" i="4"/>
  <c r="DP12" i="4"/>
  <c r="DO12" i="4"/>
  <c r="AJ8" i="4"/>
  <c r="AK8" i="4" s="1"/>
  <c r="AC34" i="42"/>
  <c r="AG21" i="41"/>
  <c r="AG17" i="41"/>
  <c r="AG22" i="41"/>
  <c r="AG18" i="41"/>
  <c r="BE12" i="4"/>
  <c r="AE31" i="44"/>
  <c r="AC11" i="42"/>
  <c r="AC13" i="42"/>
  <c r="AA52" i="43"/>
  <c r="AC21" i="42"/>
  <c r="AG19" i="41"/>
  <c r="AC36" i="43"/>
  <c r="AJ7" i="4"/>
  <c r="AK7" i="4" s="1"/>
  <c r="F52" i="43"/>
  <c r="G11" i="43"/>
  <c r="AC11" i="43" s="1"/>
  <c r="H31" i="44"/>
  <c r="G31" i="44"/>
  <c r="AG31" i="44"/>
  <c r="H54" i="43"/>
  <c r="I54" i="43"/>
  <c r="AA8" i="4"/>
  <c r="AB8" i="4" s="1"/>
  <c r="AA7" i="4"/>
  <c r="AB7" i="4" s="1"/>
  <c r="AC35" i="42"/>
  <c r="AB9" i="4"/>
  <c r="AC33" i="42"/>
  <c r="AC32" i="42"/>
  <c r="AC31" i="42"/>
  <c r="AC30" i="42"/>
  <c r="AC29" i="42"/>
  <c r="AC28" i="42"/>
  <c r="AC27" i="42"/>
  <c r="AC26" i="42"/>
  <c r="AC25" i="42"/>
  <c r="AC24" i="42"/>
  <c r="AC22" i="42"/>
  <c r="AC20" i="42"/>
  <c r="AC19" i="42"/>
  <c r="AC18" i="42"/>
  <c r="AC17" i="42"/>
  <c r="AC16" i="42"/>
  <c r="AC14" i="42"/>
  <c r="AC12" i="42"/>
  <c r="AC10" i="42"/>
  <c r="AC9" i="42"/>
  <c r="AC15" i="42"/>
  <c r="AC23" i="42"/>
  <c r="L64" i="42"/>
  <c r="AC44" i="42"/>
  <c r="G8" i="42"/>
  <c r="AF4" i="42"/>
  <c r="H57" i="42"/>
  <c r="AG16" i="41"/>
  <c r="AG15" i="41"/>
  <c r="AG13" i="41"/>
  <c r="AG12" i="41"/>
  <c r="AG11" i="41"/>
  <c r="AG10" i="41"/>
  <c r="AG9" i="41"/>
  <c r="AG20" i="41"/>
  <c r="K53" i="38"/>
  <c r="G55" i="42" l="1"/>
  <c r="DL14" i="4"/>
  <c r="DM14" i="4"/>
  <c r="DP14" i="4"/>
  <c r="DL12" i="4"/>
  <c r="DM12" i="4"/>
  <c r="AG7" i="41"/>
  <c r="AG6" i="41"/>
  <c r="AG58" i="41" s="1"/>
  <c r="E8" i="6"/>
  <c r="Q8" i="4" s="1"/>
  <c r="R8" i="4" s="1"/>
  <c r="S8" i="4" s="1"/>
  <c r="DO13" i="4"/>
  <c r="DP13" i="4"/>
  <c r="DO11" i="4"/>
  <c r="DP11" i="4"/>
  <c r="AC52" i="43"/>
  <c r="G52" i="43"/>
  <c r="AC51" i="38"/>
  <c r="J53" i="38"/>
  <c r="AA22" i="4"/>
  <c r="AB22" i="4"/>
  <c r="AC8" i="42"/>
  <c r="AC55" i="42" s="1"/>
  <c r="R9" i="4"/>
  <c r="S9" i="4" s="1"/>
  <c r="E7" i="6" l="1"/>
  <c r="E18" i="6" s="1"/>
  <c r="F18" i="38"/>
  <c r="G18" i="38" s="1"/>
  <c r="F23" i="38"/>
  <c r="G23" i="38" s="1"/>
  <c r="F45" i="38"/>
  <c r="G45" i="38" s="1"/>
  <c r="F46" i="38"/>
  <c r="G46" i="38" s="1"/>
  <c r="F50" i="38"/>
  <c r="G50" i="38" s="1"/>
  <c r="G47" i="38"/>
  <c r="F44" i="38"/>
  <c r="G44" i="38" s="1"/>
  <c r="F43" i="38"/>
  <c r="G43" i="38" s="1"/>
  <c r="F42" i="38"/>
  <c r="G42" i="38" s="1"/>
  <c r="F41" i="38"/>
  <c r="G41" i="38" s="1"/>
  <c r="F40" i="38"/>
  <c r="G40" i="38" s="1"/>
  <c r="F39" i="38"/>
  <c r="G39" i="38" s="1"/>
  <c r="F38" i="38"/>
  <c r="G38" i="38" s="1"/>
  <c r="F37" i="38"/>
  <c r="G37" i="38" s="1"/>
  <c r="F36" i="38"/>
  <c r="G36" i="38" s="1"/>
  <c r="F35" i="38"/>
  <c r="G35" i="38" s="1"/>
  <c r="F34" i="38"/>
  <c r="G34" i="38" s="1"/>
  <c r="F33" i="38"/>
  <c r="G33" i="38" s="1"/>
  <c r="F32" i="38"/>
  <c r="G32" i="38" s="1"/>
  <c r="F31" i="38"/>
  <c r="G31" i="38" s="1"/>
  <c r="F30" i="38"/>
  <c r="G30" i="38" s="1"/>
  <c r="F29" i="38"/>
  <c r="G29" i="38" s="1"/>
  <c r="F28" i="38"/>
  <c r="G28" i="38" s="1"/>
  <c r="G27" i="38"/>
  <c r="F26" i="38"/>
  <c r="G26" i="38" s="1"/>
  <c r="F25" i="38"/>
  <c r="G25" i="38" s="1"/>
  <c r="F24" i="38"/>
  <c r="G24" i="38" s="1"/>
  <c r="F22" i="38"/>
  <c r="G22" i="38" s="1"/>
  <c r="G21" i="38"/>
  <c r="G20" i="38"/>
  <c r="G19" i="38"/>
  <c r="F17" i="38"/>
  <c r="G17" i="38" s="1"/>
  <c r="F16" i="38"/>
  <c r="G16" i="38" s="1"/>
  <c r="F15" i="38"/>
  <c r="G15" i="38" s="1"/>
  <c r="F14" i="38"/>
  <c r="G14" i="38" s="1"/>
  <c r="F13" i="38"/>
  <c r="G13" i="38" s="1"/>
  <c r="F12" i="38"/>
  <c r="G12" i="38" s="1"/>
  <c r="F11" i="38"/>
  <c r="G11" i="38" s="1"/>
  <c r="F10" i="38"/>
  <c r="I55" i="38"/>
  <c r="F9" i="38"/>
  <c r="G9" i="38" s="1"/>
  <c r="F8" i="38"/>
  <c r="Q7" i="4" l="1"/>
  <c r="R7" i="4" s="1"/>
  <c r="S7" i="4" s="1"/>
  <c r="S22" i="4" s="1"/>
  <c r="G8" i="38"/>
  <c r="F53" i="38"/>
  <c r="H53" i="38"/>
  <c r="Q24" i="4" s="1"/>
  <c r="Q28" i="4" s="1"/>
  <c r="AC45" i="38"/>
  <c r="L62" i="38"/>
  <c r="AC13" i="38"/>
  <c r="AC9" i="38"/>
  <c r="AC11" i="38"/>
  <c r="AC21" i="38"/>
  <c r="AC25" i="38"/>
  <c r="AC29" i="38"/>
  <c r="AC33" i="38"/>
  <c r="AC37" i="38"/>
  <c r="AC41" i="38"/>
  <c r="AC47" i="38"/>
  <c r="AC17" i="38"/>
  <c r="AC50" i="38"/>
  <c r="AC24" i="38"/>
  <c r="AC30" i="38"/>
  <c r="AC43" i="38"/>
  <c r="AC12" i="38"/>
  <c r="AC18" i="38"/>
  <c r="AC31" i="38"/>
  <c r="AC44" i="38"/>
  <c r="AC19" i="38"/>
  <c r="AC32" i="38"/>
  <c r="AC38" i="38"/>
  <c r="AC20" i="38"/>
  <c r="AC26" i="38"/>
  <c r="AC39" i="38"/>
  <c r="AC14" i="38"/>
  <c r="AC27" i="38"/>
  <c r="AC40" i="38"/>
  <c r="AC46" i="38"/>
  <c r="AC15" i="38"/>
  <c r="AC28" i="38"/>
  <c r="AC34" i="38"/>
  <c r="AC16" i="38"/>
  <c r="AC22" i="38"/>
  <c r="AC35" i="38"/>
  <c r="AC23" i="38"/>
  <c r="AC36" i="38"/>
  <c r="AC42" i="38"/>
  <c r="AC8" i="38"/>
  <c r="G10" i="38"/>
  <c r="H55" i="38" l="1"/>
  <c r="Q22" i="4"/>
  <c r="G53" i="38"/>
  <c r="AC10" i="38"/>
  <c r="AC53" i="38" s="1"/>
  <c r="G27" i="37" l="1"/>
  <c r="H27" i="37" s="1"/>
  <c r="G26" i="37"/>
  <c r="H26" i="37" s="1"/>
  <c r="G25" i="37"/>
  <c r="H25" i="37" s="1"/>
  <c r="G24" i="37"/>
  <c r="H24" i="37" s="1"/>
  <c r="G23" i="37"/>
  <c r="H23" i="37" s="1"/>
  <c r="H22" i="37"/>
  <c r="G21" i="37"/>
  <c r="H21" i="37" s="1"/>
  <c r="G20" i="37"/>
  <c r="H20" i="37" s="1"/>
  <c r="G19" i="37"/>
  <c r="G18" i="37"/>
  <c r="H18" i="37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G11" i="37"/>
  <c r="H10" i="37"/>
  <c r="G9" i="37"/>
  <c r="H9" i="37" s="1"/>
  <c r="G8" i="37"/>
  <c r="H8" i="37" s="1"/>
  <c r="G7" i="37"/>
  <c r="H7" i="37" s="1"/>
  <c r="G6" i="37"/>
  <c r="H6" i="37" s="1"/>
  <c r="AD27" i="37"/>
  <c r="AD26" i="37"/>
  <c r="AD25" i="37"/>
  <c r="AD24" i="37"/>
  <c r="AD23" i="37"/>
  <c r="AD22" i="37"/>
  <c r="AD21" i="37"/>
  <c r="AD20" i="37"/>
  <c r="AD19" i="37"/>
  <c r="AD18" i="37"/>
  <c r="AD17" i="37"/>
  <c r="AD16" i="37"/>
  <c r="AD15" i="37"/>
  <c r="AD14" i="37"/>
  <c r="AD13" i="37"/>
  <c r="AD12" i="37"/>
  <c r="AD11" i="37"/>
  <c r="AD10" i="37"/>
  <c r="AD9" i="37"/>
  <c r="AD8" i="37"/>
  <c r="AD7" i="37"/>
  <c r="H19" i="37"/>
  <c r="H11" i="37"/>
  <c r="C16" i="6"/>
  <c r="F16" i="4" s="1"/>
  <c r="C9" i="6"/>
  <c r="F9" i="4" s="1"/>
  <c r="DI9" i="4" s="1"/>
  <c r="Z52" i="35"/>
  <c r="G52" i="35"/>
  <c r="AF22" i="37" l="1"/>
  <c r="AB52" i="35"/>
  <c r="DL9" i="4"/>
  <c r="J16" i="4"/>
  <c r="DI16" i="4"/>
  <c r="AD6" i="37"/>
  <c r="AF23" i="37"/>
  <c r="AF20" i="37"/>
  <c r="AF15" i="37"/>
  <c r="AF12" i="37"/>
  <c r="AF7" i="37"/>
  <c r="AF10" i="37"/>
  <c r="AF11" i="37"/>
  <c r="AF19" i="37"/>
  <c r="AF27" i="37"/>
  <c r="AF18" i="37"/>
  <c r="AF13" i="37"/>
  <c r="AF21" i="37"/>
  <c r="AF26" i="37"/>
  <c r="AF14" i="37"/>
  <c r="AF8" i="37"/>
  <c r="AF16" i="37"/>
  <c r="AF24" i="37"/>
  <c r="AF9" i="37"/>
  <c r="AF17" i="37"/>
  <c r="AF25" i="37"/>
  <c r="G29" i="37"/>
  <c r="H29" i="37"/>
  <c r="H33" i="37" s="1"/>
  <c r="AF6" i="37" l="1"/>
  <c r="AD29" i="37"/>
  <c r="AF29" i="37"/>
  <c r="DP16" i="4"/>
  <c r="DM16" i="4"/>
  <c r="DL16" i="4"/>
  <c r="C15" i="6"/>
  <c r="F15" i="4" s="1"/>
  <c r="J15" i="4" l="1"/>
  <c r="DI15" i="4"/>
  <c r="C8" i="6"/>
  <c r="F8" i="4" s="1"/>
  <c r="DI8" i="4" s="1"/>
  <c r="C7" i="6"/>
  <c r="F7" i="4" l="1"/>
  <c r="DI7" i="4" s="1"/>
  <c r="C18" i="6"/>
  <c r="DM15" i="4"/>
  <c r="DP15" i="4"/>
  <c r="DL15" i="4"/>
  <c r="F51" i="35"/>
  <c r="F34" i="35"/>
  <c r="F33" i="35"/>
  <c r="F32" i="35"/>
  <c r="F31" i="35"/>
  <c r="F30" i="35"/>
  <c r="F29" i="35"/>
  <c r="F28" i="35"/>
  <c r="F27" i="35"/>
  <c r="F26" i="35"/>
  <c r="F25" i="35"/>
  <c r="F24" i="35"/>
  <c r="F22" i="35"/>
  <c r="F21" i="35"/>
  <c r="F20" i="35"/>
  <c r="F19" i="35"/>
  <c r="F17" i="35"/>
  <c r="F16" i="35"/>
  <c r="F15" i="35"/>
  <c r="F14" i="35"/>
  <c r="F13" i="35"/>
  <c r="F12" i="35"/>
  <c r="F11" i="35"/>
  <c r="F10" i="35"/>
  <c r="DI18" i="4" l="1"/>
  <c r="DL18" i="4" s="1"/>
  <c r="AD102" i="34"/>
  <c r="AD101" i="34"/>
  <c r="AD100" i="34"/>
  <c r="AD99" i="34"/>
  <c r="AD96" i="34"/>
  <c r="AD94" i="34"/>
  <c r="AD93" i="34"/>
  <c r="G102" i="34"/>
  <c r="H102" i="34" s="1"/>
  <c r="G101" i="34"/>
  <c r="H101" i="34" s="1"/>
  <c r="G100" i="34"/>
  <c r="H100" i="34" s="1"/>
  <c r="G99" i="34"/>
  <c r="H99" i="34" s="1"/>
  <c r="G98" i="34"/>
  <c r="H98" i="34" s="1"/>
  <c r="G97" i="34"/>
  <c r="H97" i="34" s="1"/>
  <c r="G96" i="34"/>
  <c r="H96" i="34" s="1"/>
  <c r="G95" i="34"/>
  <c r="H95" i="34" s="1"/>
  <c r="G94" i="34"/>
  <c r="H94" i="34" s="1"/>
  <c r="G93" i="34"/>
  <c r="H93" i="34" s="1"/>
  <c r="G71" i="34"/>
  <c r="AF102" i="34" l="1"/>
  <c r="AF100" i="34"/>
  <c r="AF101" i="34"/>
  <c r="AF99" i="34"/>
  <c r="AD98" i="34"/>
  <c r="AF98" i="34" s="1"/>
  <c r="AD97" i="34"/>
  <c r="AF97" i="34" s="1"/>
  <c r="AD95" i="34"/>
  <c r="AF95" i="34" s="1"/>
  <c r="AF96" i="34"/>
  <c r="AF94" i="34"/>
  <c r="AF93" i="34"/>
  <c r="T12" i="7"/>
  <c r="C18" i="7"/>
  <c r="C32" i="7"/>
  <c r="C42" i="7"/>
  <c r="C57" i="7"/>
  <c r="C48" i="7"/>
  <c r="C36" i="7"/>
  <c r="C28" i="7"/>
  <c r="C41" i="7"/>
  <c r="C17" i="7"/>
  <c r="C38" i="7"/>
  <c r="G69" i="34" l="1"/>
  <c r="G68" i="34"/>
  <c r="G67" i="34"/>
  <c r="AB26" i="1" l="1"/>
  <c r="C9" i="7"/>
  <c r="D12" i="1"/>
  <c r="E13" i="1"/>
  <c r="E26" i="1" s="1"/>
  <c r="G16" i="1"/>
  <c r="K16" i="1" s="1"/>
  <c r="DR10" i="4" s="1"/>
  <c r="F9" i="35"/>
  <c r="G9" i="35" s="1"/>
  <c r="F8" i="35"/>
  <c r="F78" i="35" s="1"/>
  <c r="G51" i="35"/>
  <c r="Z51" i="35" s="1"/>
  <c r="AB51" i="35" s="1"/>
  <c r="G35" i="35"/>
  <c r="G34" i="35"/>
  <c r="G33" i="35"/>
  <c r="Z33" i="35" s="1"/>
  <c r="G32" i="35"/>
  <c r="Z32" i="35" s="1"/>
  <c r="G31" i="35"/>
  <c r="G30" i="35"/>
  <c r="Z30" i="35" s="1"/>
  <c r="G29" i="35"/>
  <c r="Z29" i="35" s="1"/>
  <c r="G28" i="35"/>
  <c r="Z28" i="35" s="1"/>
  <c r="AB28" i="35" s="1"/>
  <c r="G27" i="35"/>
  <c r="Z27" i="35" s="1"/>
  <c r="G26" i="35"/>
  <c r="G25" i="35"/>
  <c r="Z25" i="35" s="1"/>
  <c r="G24" i="35"/>
  <c r="G23" i="35"/>
  <c r="G22" i="35"/>
  <c r="Z22" i="35" s="1"/>
  <c r="G21" i="35"/>
  <c r="Z20" i="35"/>
  <c r="G20" i="35"/>
  <c r="G19" i="35"/>
  <c r="G18" i="35"/>
  <c r="G17" i="35"/>
  <c r="G16" i="35"/>
  <c r="G15" i="35"/>
  <c r="Z15" i="35" s="1"/>
  <c r="G14" i="35"/>
  <c r="G13" i="35"/>
  <c r="Z13" i="35" s="1"/>
  <c r="G12" i="35"/>
  <c r="G11" i="35"/>
  <c r="G10" i="35"/>
  <c r="Z9" i="35"/>
  <c r="G8" i="35" l="1"/>
  <c r="G78" i="35" s="1"/>
  <c r="J16" i="1"/>
  <c r="C17" i="3" s="1"/>
  <c r="AB20" i="35"/>
  <c r="AB9" i="35"/>
  <c r="Z8" i="35"/>
  <c r="AB22" i="35"/>
  <c r="AB30" i="35"/>
  <c r="Z11" i="35"/>
  <c r="AB11" i="35" s="1"/>
  <c r="Z26" i="35"/>
  <c r="AB26" i="35" s="1"/>
  <c r="Z16" i="35"/>
  <c r="AB16" i="35" s="1"/>
  <c r="Z31" i="35"/>
  <c r="AB31" i="35" s="1"/>
  <c r="Z18" i="35"/>
  <c r="AB18" i="35" s="1"/>
  <c r="Z34" i="35"/>
  <c r="AB34" i="35" s="1"/>
  <c r="Z23" i="35"/>
  <c r="AB23" i="35" s="1"/>
  <c r="Z12" i="35"/>
  <c r="AB12" i="35" s="1"/>
  <c r="Z24" i="35"/>
  <c r="AB24" i="35" s="1"/>
  <c r="AB15" i="35"/>
  <c r="Z17" i="35"/>
  <c r="AB17" i="35" s="1"/>
  <c r="AB32" i="35"/>
  <c r="Z35" i="35"/>
  <c r="AB35" i="35" s="1"/>
  <c r="Z14" i="35"/>
  <c r="AB14" i="35" s="1"/>
  <c r="AB29" i="35"/>
  <c r="Z21" i="35"/>
  <c r="AB21" i="35" s="1"/>
  <c r="Z19" i="35"/>
  <c r="AB19" i="35" s="1"/>
  <c r="AB27" i="35"/>
  <c r="AB13" i="35"/>
  <c r="AB25" i="35"/>
  <c r="AB33" i="35"/>
  <c r="G64" i="34"/>
  <c r="G63" i="34"/>
  <c r="G62" i="34"/>
  <c r="G61" i="34"/>
  <c r="G60" i="34"/>
  <c r="G59" i="34"/>
  <c r="G58" i="34"/>
  <c r="G57" i="34"/>
  <c r="G56" i="34"/>
  <c r="G38" i="34"/>
  <c r="G37" i="34"/>
  <c r="G36" i="34"/>
  <c r="G35" i="34"/>
  <c r="G34" i="34"/>
  <c r="G33" i="34"/>
  <c r="G32" i="34"/>
  <c r="G31" i="34"/>
  <c r="G29" i="34"/>
  <c r="G28" i="34"/>
  <c r="G27" i="34"/>
  <c r="G23" i="34"/>
  <c r="G22" i="34"/>
  <c r="G21" i="34"/>
  <c r="G20" i="34"/>
  <c r="G19" i="34"/>
  <c r="G18" i="34"/>
  <c r="G17" i="34"/>
  <c r="G16" i="34"/>
  <c r="G15" i="34"/>
  <c r="G14" i="34"/>
  <c r="G12" i="34"/>
  <c r="G11" i="34"/>
  <c r="G10" i="34"/>
  <c r="AD9" i="34"/>
  <c r="G9" i="34"/>
  <c r="C10" i="4" l="1"/>
  <c r="N17" i="3"/>
  <c r="J17" i="3"/>
  <c r="F17" i="3"/>
  <c r="K17" i="3"/>
  <c r="G17" i="3"/>
  <c r="L17" i="3"/>
  <c r="H17" i="3"/>
  <c r="D17" i="3"/>
  <c r="M17" i="3"/>
  <c r="I17" i="3"/>
  <c r="E17" i="3"/>
  <c r="CJ10" i="4"/>
  <c r="AB8" i="35"/>
  <c r="H80" i="35"/>
  <c r="I80" i="35"/>
  <c r="O17" i="3"/>
  <c r="M16" i="1"/>
  <c r="E10" i="4"/>
  <c r="Z10" i="35"/>
  <c r="Z78" i="35" s="1"/>
  <c r="CS10" i="4" l="1"/>
  <c r="CX10" i="4" s="1"/>
  <c r="DM10" i="4"/>
  <c r="CO10" i="4"/>
  <c r="CA10" i="4"/>
  <c r="CF10" i="4" s="1"/>
  <c r="AQ10" i="4"/>
  <c r="AV10" i="4" s="1"/>
  <c r="BR10" i="4"/>
  <c r="BW10" i="4" s="1"/>
  <c r="Y10" i="4"/>
  <c r="AD10" i="4" s="1"/>
  <c r="AZ10" i="4"/>
  <c r="BE10" i="4" s="1"/>
  <c r="AH10" i="4"/>
  <c r="AM10" i="4" s="1"/>
  <c r="P10" i="4"/>
  <c r="U10" i="4" s="1"/>
  <c r="BI10" i="4"/>
  <c r="BN10" i="4" s="1"/>
  <c r="AB10" i="35"/>
  <c r="AB78" i="35" s="1"/>
  <c r="AD104" i="34"/>
  <c r="G104" i="34"/>
  <c r="H104" i="34" s="1"/>
  <c r="AD103" i="34"/>
  <c r="G103" i="34"/>
  <c r="H103" i="34" s="1"/>
  <c r="AD92" i="34"/>
  <c r="G92" i="34"/>
  <c r="H92" i="34" s="1"/>
  <c r="AD91" i="34"/>
  <c r="G91" i="34"/>
  <c r="H91" i="34" s="1"/>
  <c r="AD90" i="34"/>
  <c r="G90" i="34"/>
  <c r="H90" i="34" s="1"/>
  <c r="AD89" i="34"/>
  <c r="G89" i="34"/>
  <c r="H89" i="34" s="1"/>
  <c r="AD88" i="34"/>
  <c r="G88" i="34"/>
  <c r="H88" i="34" s="1"/>
  <c r="AD87" i="34"/>
  <c r="G87" i="34"/>
  <c r="H87" i="34" s="1"/>
  <c r="AD86" i="34"/>
  <c r="G86" i="34"/>
  <c r="H86" i="34" s="1"/>
  <c r="AD85" i="34"/>
  <c r="G85" i="34"/>
  <c r="H85" i="34" s="1"/>
  <c r="AD84" i="34"/>
  <c r="H84" i="34"/>
  <c r="AD83" i="34"/>
  <c r="H83" i="34"/>
  <c r="AD82" i="34"/>
  <c r="G82" i="34"/>
  <c r="H82" i="34" s="1"/>
  <c r="AD81" i="34"/>
  <c r="G81" i="34"/>
  <c r="H81" i="34" s="1"/>
  <c r="AD80" i="34"/>
  <c r="G80" i="34"/>
  <c r="H80" i="34" s="1"/>
  <c r="AD79" i="34"/>
  <c r="G79" i="34"/>
  <c r="H79" i="34" s="1"/>
  <c r="AD78" i="34"/>
  <c r="G78" i="34"/>
  <c r="H78" i="34" s="1"/>
  <c r="AD77" i="34"/>
  <c r="G77" i="34"/>
  <c r="H77" i="34" s="1"/>
  <c r="AD76" i="34"/>
  <c r="G76" i="34"/>
  <c r="H76" i="34" s="1"/>
  <c r="AD75" i="34"/>
  <c r="G75" i="34"/>
  <c r="H75" i="34" s="1"/>
  <c r="AD74" i="34"/>
  <c r="G74" i="34"/>
  <c r="H74" i="34" s="1"/>
  <c r="AD73" i="34"/>
  <c r="G73" i="34"/>
  <c r="H73" i="34" s="1"/>
  <c r="AD72" i="34"/>
  <c r="G72" i="34"/>
  <c r="H72" i="34" s="1"/>
  <c r="AD71" i="34"/>
  <c r="H71" i="34"/>
  <c r="AD70" i="34"/>
  <c r="AD69" i="34"/>
  <c r="H69" i="34"/>
  <c r="AD68" i="34"/>
  <c r="H68" i="34"/>
  <c r="AD67" i="34"/>
  <c r="H67" i="34"/>
  <c r="AD66" i="34"/>
  <c r="G66" i="34"/>
  <c r="H66" i="34" s="1"/>
  <c r="AD65" i="34"/>
  <c r="G65" i="34"/>
  <c r="AD64" i="34"/>
  <c r="H64" i="34"/>
  <c r="AD63" i="34"/>
  <c r="H63" i="34"/>
  <c r="AD62" i="34"/>
  <c r="H62" i="34"/>
  <c r="AD61" i="34"/>
  <c r="H61" i="34"/>
  <c r="AD60" i="34"/>
  <c r="H60" i="34"/>
  <c r="AD59" i="34"/>
  <c r="H59" i="34"/>
  <c r="AD58" i="34"/>
  <c r="H58" i="34"/>
  <c r="AD57" i="34"/>
  <c r="H57" i="34"/>
  <c r="AD56" i="34"/>
  <c r="H56" i="34"/>
  <c r="AD38" i="34"/>
  <c r="H38" i="34"/>
  <c r="AD37" i="34"/>
  <c r="H37" i="34"/>
  <c r="AD36" i="34"/>
  <c r="H36" i="34"/>
  <c r="AD35" i="34"/>
  <c r="H35" i="34"/>
  <c r="AD34" i="34"/>
  <c r="H34" i="34"/>
  <c r="AD33" i="34"/>
  <c r="H33" i="34"/>
  <c r="AD32" i="34"/>
  <c r="H32" i="34"/>
  <c r="AD31" i="34"/>
  <c r="H31" i="34"/>
  <c r="AD30" i="34"/>
  <c r="H30" i="34"/>
  <c r="AD29" i="34"/>
  <c r="H29" i="34"/>
  <c r="AD28" i="34"/>
  <c r="H28" i="34"/>
  <c r="AD27" i="34"/>
  <c r="H27" i="34"/>
  <c r="AD24" i="34"/>
  <c r="H24" i="34"/>
  <c r="AD23" i="34"/>
  <c r="H23" i="34"/>
  <c r="AD22" i="34"/>
  <c r="H22" i="34"/>
  <c r="AD21" i="34"/>
  <c r="H21" i="34"/>
  <c r="AD20" i="34"/>
  <c r="H20" i="34"/>
  <c r="AD19" i="34"/>
  <c r="H19" i="34"/>
  <c r="AD18" i="34"/>
  <c r="H18" i="34"/>
  <c r="AD17" i="34"/>
  <c r="H17" i="34"/>
  <c r="AD16" i="34"/>
  <c r="H16" i="34"/>
  <c r="AD15" i="34"/>
  <c r="H15" i="34"/>
  <c r="AD14" i="34"/>
  <c r="H14" i="34"/>
  <c r="AD13" i="34"/>
  <c r="AD12" i="34"/>
  <c r="H12" i="34"/>
  <c r="AD11" i="34"/>
  <c r="H11" i="34"/>
  <c r="AD10" i="34"/>
  <c r="H10" i="34"/>
  <c r="H9" i="34"/>
  <c r="AD8" i="34"/>
  <c r="H8" i="34"/>
  <c r="H7" i="34"/>
  <c r="AD6" i="34"/>
  <c r="DN10" i="4" l="1"/>
  <c r="H65" i="34"/>
  <c r="AF65" i="34" s="1"/>
  <c r="G106" i="34"/>
  <c r="G22" i="4"/>
  <c r="H22" i="4"/>
  <c r="J10" i="4"/>
  <c r="AF82" i="34"/>
  <c r="AF86" i="34"/>
  <c r="AF81" i="34"/>
  <c r="AF85" i="34"/>
  <c r="AF90" i="34"/>
  <c r="AF70" i="34"/>
  <c r="AF104" i="34"/>
  <c r="AF71" i="34"/>
  <c r="AF75" i="34"/>
  <c r="AF79" i="34"/>
  <c r="AF89" i="34"/>
  <c r="AF74" i="34"/>
  <c r="AF78" i="34"/>
  <c r="AF83" i="34"/>
  <c r="AF87" i="34"/>
  <c r="AF76" i="34"/>
  <c r="AF80" i="34"/>
  <c r="AF91" i="34"/>
  <c r="AF73" i="34"/>
  <c r="AF92" i="34"/>
  <c r="AF62" i="34"/>
  <c r="AF66" i="34"/>
  <c r="AF77" i="34"/>
  <c r="AF84" i="34"/>
  <c r="AF68" i="34"/>
  <c r="AF61" i="34"/>
  <c r="AF59" i="34"/>
  <c r="AF60" i="34"/>
  <c r="AF88" i="34"/>
  <c r="AF19" i="34"/>
  <c r="AF64" i="34"/>
  <c r="AF103" i="34"/>
  <c r="AF20" i="34"/>
  <c r="AF58" i="34"/>
  <c r="AF72" i="34"/>
  <c r="AF9" i="34"/>
  <c r="AF13" i="34"/>
  <c r="AF17" i="34"/>
  <c r="AF24" i="34"/>
  <c r="AF30" i="34"/>
  <c r="AF34" i="34"/>
  <c r="AF38" i="34"/>
  <c r="AF63" i="34"/>
  <c r="AF11" i="34"/>
  <c r="AF15" i="34"/>
  <c r="AF28" i="34"/>
  <c r="AF32" i="34"/>
  <c r="AF36" i="34"/>
  <c r="AF56" i="34"/>
  <c r="AF8" i="34"/>
  <c r="AF12" i="34"/>
  <c r="AF33" i="34"/>
  <c r="AF37" i="34"/>
  <c r="AF57" i="34"/>
  <c r="AF69" i="34"/>
  <c r="AF10" i="34"/>
  <c r="AF14" i="34"/>
  <c r="AF18" i="34"/>
  <c r="AF27" i="34"/>
  <c r="AF31" i="34"/>
  <c r="AF35" i="34"/>
  <c r="AF67" i="34"/>
  <c r="AF29" i="34"/>
  <c r="AF23" i="34"/>
  <c r="AF16" i="34"/>
  <c r="AF21" i="34"/>
  <c r="AF22" i="34"/>
  <c r="H6" i="34"/>
  <c r="H106" i="34" s="1"/>
  <c r="AD7" i="34"/>
  <c r="AD106" i="34" s="1"/>
  <c r="R9" i="7"/>
  <c r="DP10" i="4" l="1"/>
  <c r="DO10" i="4"/>
  <c r="AF6" i="34"/>
  <c r="AF7" i="34"/>
  <c r="AF106" i="34" l="1"/>
  <c r="CT22" i="4"/>
  <c r="R14" i="7" l="1"/>
  <c r="M59" i="7"/>
  <c r="R34" i="7" l="1"/>
  <c r="J59" i="7" l="1"/>
  <c r="R56" i="7" l="1"/>
  <c r="R51" i="7"/>
  <c r="T51" i="7" s="1"/>
  <c r="R23" i="7"/>
  <c r="T23" i="7" s="1"/>
  <c r="R22" i="7"/>
  <c r="R18" i="7"/>
  <c r="G15" i="1" l="1"/>
  <c r="K15" i="1" s="1"/>
  <c r="DR9" i="4" s="1"/>
  <c r="H59" i="7"/>
  <c r="J15" i="1" l="1"/>
  <c r="M15" i="1" l="1"/>
  <c r="C16" i="3"/>
  <c r="AR22" i="4"/>
  <c r="C9" i="4" l="1"/>
  <c r="DM9" i="4" s="1"/>
  <c r="K16" i="3"/>
  <c r="G16" i="3"/>
  <c r="L16" i="3"/>
  <c r="H16" i="3"/>
  <c r="D16" i="3"/>
  <c r="M16" i="3"/>
  <c r="I16" i="3"/>
  <c r="E16" i="3"/>
  <c r="N16" i="3"/>
  <c r="J16" i="3"/>
  <c r="F16" i="3"/>
  <c r="CJ9" i="4"/>
  <c r="CO9" i="4" s="1"/>
  <c r="CS9" i="4"/>
  <c r="CX9" i="4" s="1"/>
  <c r="CA9" i="4"/>
  <c r="CF9" i="4" s="1"/>
  <c r="P9" i="4"/>
  <c r="U9" i="4" s="1"/>
  <c r="O16" i="3"/>
  <c r="AZ9" i="4"/>
  <c r="BE9" i="4" s="1"/>
  <c r="AH9" i="4"/>
  <c r="AM9" i="4" s="1"/>
  <c r="Y9" i="4"/>
  <c r="AD9" i="4" s="1"/>
  <c r="T18" i="7"/>
  <c r="AQ9" i="4" l="1"/>
  <c r="AV9" i="4" s="1"/>
  <c r="E9" i="4"/>
  <c r="BI9" i="4"/>
  <c r="BN9" i="4" s="1"/>
  <c r="BR9" i="4"/>
  <c r="BW9" i="4" s="1"/>
  <c r="R33" i="7"/>
  <c r="DN9" i="4" l="1"/>
  <c r="J9" i="4"/>
  <c r="DO9" i="4"/>
  <c r="DP9" i="4"/>
  <c r="DD22" i="4"/>
  <c r="DC22" i="4"/>
  <c r="CW22" i="4"/>
  <c r="CN22" i="4"/>
  <c r="CK22" i="4"/>
  <c r="CE22" i="4"/>
  <c r="CB22" i="4"/>
  <c r="BV22" i="4"/>
  <c r="BS22" i="4"/>
  <c r="BM22" i="4"/>
  <c r="BJ22" i="4"/>
  <c r="BD22" i="4"/>
  <c r="BA22" i="4"/>
  <c r="AU22" i="4"/>
  <c r="AL22" i="4"/>
  <c r="AI22" i="4"/>
  <c r="AC22" i="4"/>
  <c r="Z22" i="4"/>
  <c r="T22" i="4"/>
  <c r="C33" i="7"/>
  <c r="T56" i="7" s="1"/>
  <c r="R22" i="4" l="1"/>
  <c r="R46" i="7" l="1"/>
  <c r="T46" i="7" s="1"/>
  <c r="R13" i="7"/>
  <c r="R20" i="7"/>
  <c r="R21" i="7"/>
  <c r="R28" i="7"/>
  <c r="T28" i="7" s="1"/>
  <c r="R45" i="7"/>
  <c r="R52" i="7"/>
  <c r="R54" i="7"/>
  <c r="R55" i="7"/>
  <c r="R48" i="7"/>
  <c r="R47" i="7"/>
  <c r="R30" i="7"/>
  <c r="T30" i="7" s="1"/>
  <c r="R53" i="7"/>
  <c r="R17" i="7"/>
  <c r="R39" i="7"/>
  <c r="R42" i="7"/>
  <c r="R41" i="7"/>
  <c r="R24" i="7"/>
  <c r="R27" i="7"/>
  <c r="R40" i="7"/>
  <c r="R57" i="7"/>
  <c r="R31" i="7"/>
  <c r="R11" i="7"/>
  <c r="T11" i="7" s="1"/>
  <c r="T42" i="7" l="1"/>
  <c r="T55" i="7" l="1"/>
  <c r="T54" i="7"/>
  <c r="T53" i="7"/>
  <c r="T52" i="7"/>
  <c r="T48" i="7"/>
  <c r="T41" i="7"/>
  <c r="T34" i="7"/>
  <c r="T33" i="7"/>
  <c r="T31" i="7"/>
  <c r="T22" i="7"/>
  <c r="T20" i="7"/>
  <c r="R16" i="7"/>
  <c r="P59" i="7"/>
  <c r="O59" i="7"/>
  <c r="N59" i="7"/>
  <c r="L59" i="7"/>
  <c r="K59" i="7"/>
  <c r="I59" i="7"/>
  <c r="G59" i="7"/>
  <c r="F59" i="7"/>
  <c r="R10" i="7"/>
  <c r="C10" i="7"/>
  <c r="C59" i="7" s="1"/>
  <c r="T9" i="7"/>
  <c r="DS10" i="4"/>
  <c r="DT10" i="4" s="1"/>
  <c r="X22" i="1" l="1"/>
  <c r="W22" i="1"/>
  <c r="V22" i="1"/>
  <c r="U22" i="1"/>
  <c r="T22" i="1"/>
  <c r="S22" i="1"/>
  <c r="R22" i="1"/>
  <c r="Q22" i="1"/>
  <c r="X24" i="1"/>
  <c r="W24" i="1"/>
  <c r="V24" i="1"/>
  <c r="U24" i="1"/>
  <c r="T24" i="1"/>
  <c r="S24" i="1"/>
  <c r="R24" i="1"/>
  <c r="Q24" i="1"/>
  <c r="Z24" i="1" s="1"/>
  <c r="X21" i="1"/>
  <c r="X17" i="1"/>
  <c r="X13" i="1"/>
  <c r="W20" i="1"/>
  <c r="W16" i="1"/>
  <c r="V23" i="1"/>
  <c r="V15" i="1"/>
  <c r="U18" i="1"/>
  <c r="U14" i="1"/>
  <c r="T21" i="1"/>
  <c r="T17" i="1"/>
  <c r="T13" i="1"/>
  <c r="S20" i="1"/>
  <c r="S16" i="1"/>
  <c r="R23" i="1"/>
  <c r="R15" i="1"/>
  <c r="Q18" i="1"/>
  <c r="Q14" i="1"/>
  <c r="P21" i="1"/>
  <c r="P17" i="1"/>
  <c r="P13" i="1"/>
  <c r="O16" i="1"/>
  <c r="O20" i="1"/>
  <c r="N14" i="1"/>
  <c r="N18" i="1"/>
  <c r="N22" i="1"/>
  <c r="X20" i="1"/>
  <c r="X16" i="1"/>
  <c r="W23" i="1"/>
  <c r="W15" i="1"/>
  <c r="V18" i="1"/>
  <c r="V14" i="1"/>
  <c r="U21" i="1"/>
  <c r="U17" i="1"/>
  <c r="U13" i="1"/>
  <c r="T20" i="1"/>
  <c r="T16" i="1"/>
  <c r="S23" i="1"/>
  <c r="S15" i="1"/>
  <c r="R18" i="1"/>
  <c r="R14" i="1"/>
  <c r="Q21" i="1"/>
  <c r="Q17" i="1"/>
  <c r="Q13" i="1"/>
  <c r="P20" i="1"/>
  <c r="P16" i="1"/>
  <c r="O23" i="1"/>
  <c r="O17" i="1"/>
  <c r="O21" i="1"/>
  <c r="N15" i="1"/>
  <c r="N19" i="1"/>
  <c r="N13" i="1"/>
  <c r="X23" i="1"/>
  <c r="X15" i="1"/>
  <c r="W18" i="1"/>
  <c r="W14" i="1"/>
  <c r="V21" i="1"/>
  <c r="V17" i="1"/>
  <c r="V13" i="1"/>
  <c r="U20" i="1"/>
  <c r="U16" i="1"/>
  <c r="T23" i="1"/>
  <c r="T15" i="1"/>
  <c r="S18" i="1"/>
  <c r="S14" i="1"/>
  <c r="R21" i="1"/>
  <c r="R17" i="1"/>
  <c r="R13" i="1"/>
  <c r="Q20" i="1"/>
  <c r="Q16" i="1"/>
  <c r="P23" i="1"/>
  <c r="P19" i="1"/>
  <c r="P15" i="1"/>
  <c r="O14" i="1"/>
  <c r="O18" i="1"/>
  <c r="O22" i="1"/>
  <c r="N16" i="1"/>
  <c r="N20" i="1"/>
  <c r="X18" i="1"/>
  <c r="X14" i="1"/>
  <c r="W21" i="1"/>
  <c r="W17" i="1"/>
  <c r="W13" i="1"/>
  <c r="V20" i="1"/>
  <c r="V16" i="1"/>
  <c r="U23" i="1"/>
  <c r="U15" i="1"/>
  <c r="T18" i="1"/>
  <c r="T14" i="1"/>
  <c r="S21" i="1"/>
  <c r="S17" i="1"/>
  <c r="S13" i="1"/>
  <c r="R20" i="1"/>
  <c r="R16" i="1"/>
  <c r="Q23" i="1"/>
  <c r="Q15" i="1"/>
  <c r="P22" i="1"/>
  <c r="P18" i="1"/>
  <c r="P14" i="1"/>
  <c r="O15" i="1"/>
  <c r="O19" i="1"/>
  <c r="O13" i="1"/>
  <c r="N17" i="1"/>
  <c r="N21" i="1"/>
  <c r="T10" i="7"/>
  <c r="DI22" i="4"/>
  <c r="R59" i="7"/>
  <c r="T16" i="7"/>
  <c r="F22" i="4"/>
  <c r="E59" i="7"/>
  <c r="E82" i="7" s="1"/>
  <c r="T39" i="7"/>
  <c r="T40" i="7"/>
  <c r="T45" i="7"/>
  <c r="T47" i="7"/>
  <c r="T27" i="7"/>
  <c r="T17" i="7"/>
  <c r="T21" i="7"/>
  <c r="T24" i="7"/>
  <c r="T57" i="7"/>
  <c r="W26" i="1" l="1"/>
  <c r="R26" i="1"/>
  <c r="N26" i="1"/>
  <c r="Q26" i="1"/>
  <c r="S26" i="1"/>
  <c r="Z23" i="1"/>
  <c r="X26" i="1"/>
  <c r="T26" i="1"/>
  <c r="O26" i="1"/>
  <c r="V26" i="1"/>
  <c r="U26" i="1"/>
  <c r="P26" i="1"/>
  <c r="Z18" i="1"/>
  <c r="Z22" i="1"/>
  <c r="Z21" i="1"/>
  <c r="Z19" i="1"/>
  <c r="Z17" i="1"/>
  <c r="Z20" i="1"/>
  <c r="T59" i="7"/>
  <c r="T63" i="7" s="1"/>
  <c r="Z14" i="1"/>
  <c r="Z15" i="1"/>
  <c r="Z13" i="1"/>
  <c r="Z16" i="1"/>
  <c r="G14" i="1"/>
  <c r="K14" i="1" s="1"/>
  <c r="DR8" i="4" s="1"/>
  <c r="G13" i="1"/>
  <c r="H12" i="1"/>
  <c r="D11" i="1"/>
  <c r="D26" i="1" s="1"/>
  <c r="G26" i="1" l="1"/>
  <c r="Z26" i="1"/>
  <c r="K13" i="1"/>
  <c r="J13" i="1"/>
  <c r="J14" i="1"/>
  <c r="H11" i="1"/>
  <c r="H26" i="1" s="1"/>
  <c r="N61" i="7"/>
  <c r="K61" i="7"/>
  <c r="E61" i="7"/>
  <c r="F61" i="7"/>
  <c r="I61" i="7"/>
  <c r="M61" i="7"/>
  <c r="O61" i="7"/>
  <c r="L61" i="7"/>
  <c r="G61" i="7"/>
  <c r="H61" i="7"/>
  <c r="J61" i="7"/>
  <c r="P61" i="7"/>
  <c r="J26" i="1" l="1"/>
  <c r="K26" i="1"/>
  <c r="DR7" i="4"/>
  <c r="DR22" i="4" s="1"/>
  <c r="M13" i="1"/>
  <c r="C14" i="3"/>
  <c r="O14" i="3" s="1"/>
  <c r="M14" i="1"/>
  <c r="C15" i="3"/>
  <c r="R61" i="7"/>
  <c r="R63" i="7" s="1"/>
  <c r="E63" i="7"/>
  <c r="C8" i="4" l="1"/>
  <c r="L15" i="3"/>
  <c r="H15" i="3"/>
  <c r="D15" i="3"/>
  <c r="M15" i="3"/>
  <c r="I15" i="3"/>
  <c r="E15" i="3"/>
  <c r="N15" i="3"/>
  <c r="J15" i="3"/>
  <c r="F15" i="3"/>
  <c r="K15" i="3"/>
  <c r="G15" i="3"/>
  <c r="C7" i="4"/>
  <c r="N14" i="3"/>
  <c r="J14" i="3"/>
  <c r="F14" i="3"/>
  <c r="K14" i="3"/>
  <c r="G14" i="3"/>
  <c r="D14" i="3"/>
  <c r="L14" i="3"/>
  <c r="H14" i="3"/>
  <c r="M14" i="3"/>
  <c r="I14" i="3"/>
  <c r="E14" i="3"/>
  <c r="M26" i="1"/>
  <c r="Y7" i="4"/>
  <c r="AD7" i="4" s="1"/>
  <c r="AQ7" i="4"/>
  <c r="AV7" i="4" s="1"/>
  <c r="CS7" i="4"/>
  <c r="CX7" i="4" s="1"/>
  <c r="E7" i="4"/>
  <c r="CJ8" i="4"/>
  <c r="CS8" i="4"/>
  <c r="CX8" i="4" s="1"/>
  <c r="CA8" i="4"/>
  <c r="CF8" i="4" s="1"/>
  <c r="E8" i="4"/>
  <c r="O15" i="3"/>
  <c r="BR8" i="4"/>
  <c r="BW8" i="4" s="1"/>
  <c r="DM8" i="4"/>
  <c r="AZ8" i="4"/>
  <c r="BE8" i="4" s="1"/>
  <c r="CO8" i="4"/>
  <c r="Y8" i="4"/>
  <c r="AD8" i="4" s="1"/>
  <c r="P8" i="4"/>
  <c r="U8" i="4" s="1"/>
  <c r="AQ8" i="4"/>
  <c r="AV8" i="4" s="1"/>
  <c r="BI8" i="4"/>
  <c r="BN8" i="4" s="1"/>
  <c r="AH8" i="4"/>
  <c r="AM8" i="4" s="1"/>
  <c r="DN8" i="4" l="1"/>
  <c r="DO8" i="4" s="1"/>
  <c r="J7" i="4"/>
  <c r="DM7" i="4"/>
  <c r="CA7" i="4"/>
  <c r="CF7" i="4" s="1"/>
  <c r="AH7" i="4"/>
  <c r="AM7" i="4" s="1"/>
  <c r="AZ7" i="4"/>
  <c r="BE7" i="4" s="1"/>
  <c r="BR7" i="4"/>
  <c r="BW7" i="4" s="1"/>
  <c r="CJ7" i="4"/>
  <c r="CO7" i="4" s="1"/>
  <c r="BI7" i="4"/>
  <c r="BN7" i="4" s="1"/>
  <c r="P7" i="4"/>
  <c r="J8" i="4"/>
  <c r="DP8" i="4"/>
  <c r="H8" i="3"/>
  <c r="L8" i="3"/>
  <c r="E8" i="3"/>
  <c r="I8" i="3"/>
  <c r="M8" i="3"/>
  <c r="F8" i="3"/>
  <c r="J8" i="3"/>
  <c r="N8" i="3"/>
  <c r="G8" i="3"/>
  <c r="K8" i="3"/>
  <c r="O8" i="3"/>
  <c r="P63" i="7"/>
  <c r="F63" i="7"/>
  <c r="G63" i="7"/>
  <c r="I63" i="7"/>
  <c r="H63" i="7"/>
  <c r="L63" i="7"/>
  <c r="N63" i="7"/>
  <c r="K63" i="7"/>
  <c r="J63" i="7"/>
  <c r="O63" i="7"/>
  <c r="M63" i="7"/>
  <c r="DN7" i="4" l="1"/>
  <c r="DN22" i="4" s="1"/>
  <c r="U7" i="4"/>
  <c r="U22" i="4" s="1"/>
  <c r="J22" i="4"/>
  <c r="DS7" i="4"/>
  <c r="I22" i="4"/>
  <c r="AD26" i="1"/>
  <c r="DE22" i="4"/>
  <c r="CO22" i="4"/>
  <c r="CF22" i="4"/>
  <c r="AD22" i="4"/>
  <c r="BW22" i="4"/>
  <c r="DP7" i="4" l="1"/>
  <c r="DL8" i="4"/>
  <c r="DS8" i="4"/>
  <c r="DT8" i="4" s="1"/>
  <c r="DS9" i="4"/>
  <c r="DT9" i="4" s="1"/>
  <c r="DO7" i="4"/>
  <c r="DJ22" i="4"/>
  <c r="DL7" i="4"/>
  <c r="DS22" i="4" l="1"/>
  <c r="DT7" i="4"/>
  <c r="DT22" i="4" s="1"/>
  <c r="C61" i="7"/>
  <c r="C63" i="7" s="1"/>
  <c r="C20" i="4" l="1"/>
  <c r="E20" i="4" s="1"/>
  <c r="E22" i="4" s="1"/>
  <c r="C26" i="3"/>
  <c r="C7" i="3"/>
  <c r="C10" i="3" l="1"/>
  <c r="F7" i="3"/>
  <c r="J7" i="3"/>
  <c r="J10" i="3" s="1"/>
  <c r="N7" i="3"/>
  <c r="N10" i="3" s="1"/>
  <c r="G7" i="3"/>
  <c r="K7" i="3"/>
  <c r="K10" i="3" s="1"/>
  <c r="E7" i="3"/>
  <c r="E10" i="3" s="1"/>
  <c r="H7" i="3"/>
  <c r="H10" i="3" s="1"/>
  <c r="L7" i="3"/>
  <c r="L10" i="3" s="1"/>
  <c r="I7" i="3"/>
  <c r="I10" i="3" s="1"/>
  <c r="M7" i="3"/>
  <c r="M10" i="3" s="1"/>
  <c r="C28" i="3"/>
  <c r="O7" i="3"/>
  <c r="O10" i="3" s="1"/>
  <c r="G10" i="3"/>
  <c r="D10" i="3"/>
  <c r="F10" i="3"/>
  <c r="O26" i="3"/>
  <c r="G26" i="3"/>
  <c r="N26" i="3"/>
  <c r="F26" i="3"/>
  <c r="E26" i="3"/>
  <c r="M26" i="3"/>
  <c r="I26" i="3"/>
  <c r="L26" i="3"/>
  <c r="D26" i="3"/>
  <c r="K26" i="3"/>
  <c r="H26" i="3"/>
  <c r="J26" i="3"/>
  <c r="CX22" i="4"/>
  <c r="BN22" i="4"/>
  <c r="BE22" i="4"/>
  <c r="C22" i="4" l="1"/>
  <c r="Y22" i="4"/>
  <c r="AZ22" i="4"/>
  <c r="CS22" i="4"/>
  <c r="CJ22" i="4"/>
  <c r="CA20" i="4"/>
  <c r="CA22" i="4" s="1"/>
  <c r="BR22" i="4"/>
  <c r="BI22" i="4"/>
  <c r="DB22" i="4"/>
  <c r="O28" i="3"/>
  <c r="O30" i="3" s="1"/>
  <c r="G28" i="3"/>
  <c r="G30" i="3" s="1"/>
  <c r="L28" i="3"/>
  <c r="L30" i="3" s="1"/>
  <c r="D28" i="3"/>
  <c r="D30" i="3" s="1"/>
  <c r="M28" i="3"/>
  <c r="M30" i="3" s="1"/>
  <c r="I28" i="3"/>
  <c r="I30" i="3" s="1"/>
  <c r="E28" i="3"/>
  <c r="E30" i="3" s="1"/>
  <c r="K28" i="3"/>
  <c r="K30" i="3" s="1"/>
  <c r="J28" i="3"/>
  <c r="J30" i="3" s="1"/>
  <c r="F28" i="3"/>
  <c r="F30" i="3" s="1"/>
  <c r="H28" i="3"/>
  <c r="H30" i="3" s="1"/>
  <c r="N28" i="3"/>
  <c r="N30" i="3" s="1"/>
  <c r="C30" i="3"/>
  <c r="AQ22" i="4" l="1"/>
  <c r="AV22" i="4"/>
  <c r="AH22" i="4"/>
  <c r="AM22" i="4"/>
  <c r="P22" i="4"/>
  <c r="DN25" i="4" s="1"/>
</calcChain>
</file>

<file path=xl/sharedStrings.xml><?xml version="1.0" encoding="utf-8"?>
<sst xmlns="http://schemas.openxmlformats.org/spreadsheetml/2006/main" count="2209" uniqueCount="673">
  <si>
    <t xml:space="preserve">LNP Attorneys </t>
  </si>
  <si>
    <t>Reporting Batch</t>
  </si>
  <si>
    <t>Mar'25</t>
  </si>
  <si>
    <t>Employees</t>
  </si>
  <si>
    <t>Employee Code</t>
  </si>
  <si>
    <t>Annual Salary</t>
  </si>
  <si>
    <t>Monthly Salary</t>
  </si>
  <si>
    <t>Direct Budget Costs</t>
  </si>
  <si>
    <t>Indirect Costs</t>
  </si>
  <si>
    <t>Budget @ 3 Salary</t>
  </si>
  <si>
    <t>Budget @ 3.3 For Bonus Purposes</t>
  </si>
  <si>
    <t>Indirect Cost @ 1/3</t>
  </si>
  <si>
    <t>Indirect Cost Mar'24</t>
  </si>
  <si>
    <t>Indirect Cost Apr'24</t>
  </si>
  <si>
    <t>Indirect Cost May'24</t>
  </si>
  <si>
    <t>Indirect Cost Jun'24</t>
  </si>
  <si>
    <t>Indirect Cost Jul'24</t>
  </si>
  <si>
    <t>Indirect Cost Aug'24</t>
  </si>
  <si>
    <t>Indirect Cost Sep'24</t>
  </si>
  <si>
    <t>Indirect Cost Oct'24</t>
  </si>
  <si>
    <t>Indirect Cost Nov'24</t>
  </si>
  <si>
    <t>Indirect Cost Dec'24</t>
  </si>
  <si>
    <t>Indirect Cost Jan'25</t>
  </si>
  <si>
    <t>Indirect Cost Feb'25</t>
  </si>
  <si>
    <t>Total Allocated</t>
  </si>
  <si>
    <t>Year to Date Billed</t>
  </si>
  <si>
    <t>Year to Date Collected</t>
  </si>
  <si>
    <t>SD Lalla</t>
  </si>
  <si>
    <t>0008</t>
  </si>
  <si>
    <t>T Masia</t>
  </si>
  <si>
    <t>0017</t>
  </si>
  <si>
    <t>AP Aneshree</t>
  </si>
  <si>
    <t>0030</t>
  </si>
  <si>
    <t>H Abdullah</t>
  </si>
  <si>
    <t>0031</t>
  </si>
  <si>
    <t>Mbalenhle Simelane</t>
  </si>
  <si>
    <t>0054</t>
  </si>
  <si>
    <t>CN Bekeer</t>
  </si>
  <si>
    <t>0060</t>
  </si>
  <si>
    <t>Lonwabo Bhambatha</t>
  </si>
  <si>
    <t>Tasmia Alli</t>
  </si>
  <si>
    <t>Nonkululeko Ngwenya</t>
  </si>
  <si>
    <t>Riona Kalua</t>
  </si>
  <si>
    <t>Robin van Wyk</t>
  </si>
  <si>
    <t>Khanyisa Hlabathi</t>
  </si>
  <si>
    <t>Danielle G</t>
  </si>
  <si>
    <t>Msizi Zunga</t>
  </si>
  <si>
    <t>Firm Budget YE 2026</t>
  </si>
  <si>
    <t>Total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</si>
  <si>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</si>
  <si>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</si>
  <si>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</si>
  <si>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</si>
  <si>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</si>
  <si>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</si>
  <si>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</si>
  <si>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</si>
  <si>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</si>
  <si>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Jan'26</t>
  </si>
  <si>
    <t>Feb'26</t>
  </si>
  <si>
    <t>Budget</t>
  </si>
  <si>
    <t>Split per Employee</t>
  </si>
  <si>
    <t>Additional Indirect Cost Allocated to Firm Budget</t>
  </si>
  <si>
    <t>Diff</t>
  </si>
  <si>
    <t>Individual Budget YE 2026</t>
  </si>
  <si>
    <t>Mar'25 - 15%</t>
  </si>
  <si>
    <t>Apr'25 - 7,5%</t>
  </si>
  <si>
    <t>May'25 - 7,5%</t>
  </si>
  <si>
    <t>Jun'25 - 9%</t>
  </si>
  <si>
    <t>Jul'25 - 9%</t>
  </si>
  <si>
    <t>Aug'25 9%</t>
  </si>
  <si>
    <t>Sep'25 - 10%</t>
  </si>
  <si>
    <t>Oct'25 - 12%</t>
  </si>
  <si>
    <t>Nov'25 - 12%</t>
  </si>
  <si>
    <t>Dec'25 - 5%</t>
  </si>
  <si>
    <t>Jan'26 - 4%</t>
  </si>
  <si>
    <t>Feb'25 - 0%</t>
  </si>
  <si>
    <t xml:space="preserve">YTD </t>
  </si>
  <si>
    <t>YTD Calculations</t>
  </si>
  <si>
    <t>Bonus Calculation</t>
  </si>
  <si>
    <t>Employee</t>
  </si>
  <si>
    <t xml:space="preserve">Billed </t>
  </si>
  <si>
    <t>Net Effect on Billed Time as per Time Recorded Policy</t>
  </si>
  <si>
    <t>Billing Forfeited due to Time Capturing</t>
  </si>
  <si>
    <t>Collected</t>
  </si>
  <si>
    <t>Under/Over Budget</t>
  </si>
  <si>
    <t>Time Recorded Penalty Feb'24</t>
  </si>
  <si>
    <t>Time Recorded Bonus Feb'24</t>
  </si>
  <si>
    <t>Time Recorded Penalty Mar'24</t>
  </si>
  <si>
    <t>Time Recorded Bonus Mar'24</t>
  </si>
  <si>
    <t>Time Recorded Penalty</t>
  </si>
  <si>
    <t>Time Recorded Bonus</t>
  </si>
  <si>
    <t>Billed</t>
  </si>
  <si>
    <t>Percentage Collected Against Billed</t>
  </si>
  <si>
    <t>Percentage Billed Against Budget</t>
  </si>
  <si>
    <t>YTD Budget</t>
  </si>
  <si>
    <t>YTD Collected Against YTD Budget</t>
  </si>
  <si>
    <t>YTD Billed Against YTD Budget</t>
  </si>
  <si>
    <t>Bonus - Salary @ 3.3</t>
  </si>
  <si>
    <t>YTD Collected</t>
  </si>
  <si>
    <t>Remaining Balance for Bonus Eligability</t>
  </si>
  <si>
    <t>N/A</t>
  </si>
  <si>
    <t>Consultant - LNP MRU @ 50%</t>
  </si>
  <si>
    <t>Consultant - Raashi Govender</t>
  </si>
  <si>
    <t>Consultant - Raashmi</t>
  </si>
  <si>
    <t>Consultant - Law Firm</t>
  </si>
  <si>
    <t>Consultant - M Kubeka</t>
  </si>
  <si>
    <t>YTD Figures Employees</t>
  </si>
  <si>
    <t>Indirect Cost Budget YE 2026</t>
  </si>
  <si>
    <t>YTD Amount</t>
  </si>
  <si>
    <t>Budget Remaining</t>
  </si>
  <si>
    <t>Expenses</t>
  </si>
  <si>
    <t>Salaries</t>
  </si>
  <si>
    <t>Nikita Lalla</t>
  </si>
  <si>
    <t>Ricardo Pillay</t>
  </si>
  <si>
    <t>Mauritius Expenses</t>
  </si>
  <si>
    <t>India Expenses</t>
  </si>
  <si>
    <t>Accounting Fees - PM vd Berg</t>
  </si>
  <si>
    <t>Audit Fees</t>
  </si>
  <si>
    <t>Bank Charges</t>
  </si>
  <si>
    <t>Chambers</t>
  </si>
  <si>
    <t>Entertainment - Clients</t>
  </si>
  <si>
    <t>Entertainment - Staff</t>
  </si>
  <si>
    <t>Insurance</t>
  </si>
  <si>
    <t>IT Expenses - App4Legal</t>
  </si>
  <si>
    <t>IT Expenses - Fibre</t>
  </si>
  <si>
    <t>IT Expenses - Lamont IT - Hardware</t>
  </si>
  <si>
    <t>IT Expenses - Lamont IT - Labour Hours</t>
  </si>
  <si>
    <t>IT Expenses - Lamont IT - Licences</t>
  </si>
  <si>
    <t xml:space="preserve">Legal Fees </t>
  </si>
  <si>
    <t>Legal Practitioner's Fees - LPC Fideliy Certificates</t>
  </si>
  <si>
    <t>Legal Practitioner's Fees - LPC Letter of Goodstanding</t>
  </si>
  <si>
    <t>Legal Practitioner's Fees - LPC Practitioner Certificates</t>
  </si>
  <si>
    <t>LNP Management Fee</t>
  </si>
  <si>
    <t xml:space="preserve">LNP Management Surcharge </t>
  </si>
  <si>
    <t>Marketing - AP Branding</t>
  </si>
  <si>
    <t>Marketing - Echo Advisory</t>
  </si>
  <si>
    <t>Office Expenses - Kitchen</t>
  </si>
  <si>
    <t>Office Rental - LNP Management</t>
  </si>
  <si>
    <t>Office Rental - LNP Management (Durban Office)</t>
  </si>
  <si>
    <t>Payroll Fees - HRPT</t>
  </si>
  <si>
    <t>Personal Assistant - Leigh Kris</t>
  </si>
  <si>
    <t>Recruitment Fees</t>
  </si>
  <si>
    <t xml:space="preserve">Repairs &amp; Maintenance </t>
  </si>
  <si>
    <t>Research Subscriptions - Juta</t>
  </si>
  <si>
    <t>Research Subscriptions - Lexis Nexis</t>
  </si>
  <si>
    <t>Research Subscriptions - Sabi Net</t>
  </si>
  <si>
    <t>Research Subscriptions - Spartan</t>
  </si>
  <si>
    <t>Research Subscriptions - Thomas Reuters</t>
  </si>
  <si>
    <t>Staff Reimbursements</t>
  </si>
  <si>
    <t>Stationery - Forms Media</t>
  </si>
  <si>
    <t>Tech Incubation Hub</t>
  </si>
  <si>
    <t>Telephone - NSN</t>
  </si>
  <si>
    <t>Toshiba Maintenace Contract</t>
  </si>
  <si>
    <t>Travel &amp; Accomodation - Conferences (GC Summit &amp; FIDIC)</t>
  </si>
  <si>
    <t>Travel &amp; Accomodation - Entertainment</t>
  </si>
  <si>
    <t>Travel &amp; Accomodation - Flights</t>
  </si>
  <si>
    <t>Travel &amp; Accomodation - Hotel</t>
  </si>
  <si>
    <t>Workmens Compensation</t>
  </si>
  <si>
    <t>Total Budgeted Amounts</t>
  </si>
  <si>
    <t>ACTUAL AMOUNTS</t>
  </si>
  <si>
    <t>Total Indirect Accounted in Budgets from Lawyers Budgets</t>
  </si>
  <si>
    <t>Over/Under Budget</t>
  </si>
  <si>
    <t>Direct Cost &amp; Income for Cash Flow Purposes</t>
  </si>
  <si>
    <t>Motor Vehicle Expenses</t>
  </si>
  <si>
    <t>3900/000 Foreign Exchange Differences</t>
  </si>
  <si>
    <t>4100/230 Consulting Fees Mauritius</t>
  </si>
  <si>
    <t>4400/700 Salaries Firm</t>
  </si>
  <si>
    <t>4400/800 Employers UIF &amp; SDL Contri</t>
  </si>
  <si>
    <t>4441/000 SARS Penalties &amp; Interest</t>
  </si>
  <si>
    <t>Fees</t>
  </si>
  <si>
    <t>2000/100 Disbursements Recovered</t>
  </si>
  <si>
    <t>2500/000 Disbursements on behalf of client</t>
  </si>
  <si>
    <t>2500/100 Disbursements Construction</t>
  </si>
  <si>
    <t>2500/150 Disbursement - Capped Fee</t>
  </si>
  <si>
    <t>2500/160 Disbursements Printing</t>
  </si>
  <si>
    <t>2750/000 Interest</t>
  </si>
  <si>
    <t>LNP Attorneys Inc</t>
  </si>
  <si>
    <t>Consultants Recon YE 2026</t>
  </si>
  <si>
    <t>LNP Attorneys INC.</t>
  </si>
  <si>
    <t>Consultant</t>
  </si>
  <si>
    <t>Date</t>
  </si>
  <si>
    <t>Client</t>
  </si>
  <si>
    <t>Invoice</t>
  </si>
  <si>
    <t>Amount</t>
  </si>
  <si>
    <t>Consultant Allocation</t>
  </si>
  <si>
    <t>Fee Discount</t>
  </si>
  <si>
    <t>Payable to Consultant excl VAT</t>
  </si>
  <si>
    <t>Payable to Consultant Incl VAT</t>
  </si>
  <si>
    <t>Profit</t>
  </si>
  <si>
    <t>Mar'25 Receipting</t>
  </si>
  <si>
    <t>Invoice Date</t>
  </si>
  <si>
    <t>Ref</t>
  </si>
  <si>
    <t>Inv Number</t>
  </si>
  <si>
    <t>Tax</t>
  </si>
  <si>
    <t>Amount Excl Tax</t>
  </si>
  <si>
    <t>Date Paid</t>
  </si>
  <si>
    <t>Aneshree</t>
  </si>
  <si>
    <t>Humaira Abdullah</t>
  </si>
  <si>
    <t>RIONA KALUA</t>
  </si>
  <si>
    <t>Previous Employees</t>
  </si>
  <si>
    <t>Firm Fees</t>
  </si>
  <si>
    <t>Disbursements</t>
  </si>
  <si>
    <t>LNP Management Disbursements</t>
  </si>
  <si>
    <t>Total Allocation</t>
  </si>
  <si>
    <t>TCTA</t>
  </si>
  <si>
    <t>31/12/2024</t>
  </si>
  <si>
    <t>M100593</t>
  </si>
  <si>
    <t>INV-1003116</t>
  </si>
  <si>
    <t>18/02/2025</t>
  </si>
  <si>
    <t>Transnet Property</t>
  </si>
  <si>
    <t>26/10/2023</t>
  </si>
  <si>
    <t>M100406</t>
  </si>
  <si>
    <t>INV-1002359</t>
  </si>
  <si>
    <t>22/02/2025</t>
  </si>
  <si>
    <t>M100580</t>
  </si>
  <si>
    <t>INV-1003079</t>
  </si>
  <si>
    <t>25/02/2025</t>
  </si>
  <si>
    <t>27/01/2025</t>
  </si>
  <si>
    <t>INV-1003133</t>
  </si>
  <si>
    <t>DBSA</t>
  </si>
  <si>
    <t>19/12/2024</t>
  </si>
  <si>
    <t>M100582</t>
  </si>
  <si>
    <t>INV-1003092</t>
  </si>
  <si>
    <t>M100591</t>
  </si>
  <si>
    <t>INV-1003093</t>
  </si>
  <si>
    <t>M100567</t>
  </si>
  <si>
    <t>INV-1003094</t>
  </si>
  <si>
    <t>Pele Green Energy</t>
  </si>
  <si>
    <t>M100598</t>
  </si>
  <si>
    <t>INV-1003139</t>
  </si>
  <si>
    <t>28/02/2025</t>
  </si>
  <si>
    <t>LNP Internation Juniors</t>
  </si>
  <si>
    <t>M100534</t>
  </si>
  <si>
    <t>INV-0000053</t>
  </si>
  <si>
    <t>IDC</t>
  </si>
  <si>
    <t>05/02/2025</t>
  </si>
  <si>
    <t>M100471</t>
  </si>
  <si>
    <t>INV-1003145</t>
  </si>
  <si>
    <t>05/03/2025</t>
  </si>
  <si>
    <t>03/03/2025</t>
  </si>
  <si>
    <t>INV-1003159</t>
  </si>
  <si>
    <t>13/03/2025</t>
  </si>
  <si>
    <t>Eskom</t>
  </si>
  <si>
    <t>29/11/2024</t>
  </si>
  <si>
    <t>M100285</t>
  </si>
  <si>
    <t>INV-1003063</t>
  </si>
  <si>
    <t>M100586</t>
  </si>
  <si>
    <t>INV-1003085</t>
  </si>
  <si>
    <t>INV-1003098</t>
  </si>
  <si>
    <t>INV-1003115</t>
  </si>
  <si>
    <t>M100443</t>
  </si>
  <si>
    <t>INV-1003126</t>
  </si>
  <si>
    <t>Southey</t>
  </si>
  <si>
    <t>07/02/2025</t>
  </si>
  <si>
    <t>M100585</t>
  </si>
  <si>
    <t>INV-1003150</t>
  </si>
  <si>
    <t>07/03/2025</t>
  </si>
  <si>
    <t xml:space="preserve">ALREADY ALLOCATED </t>
  </si>
  <si>
    <t>Nordex</t>
  </si>
  <si>
    <t>M100570</t>
  </si>
  <si>
    <t>INV-1003132</t>
  </si>
  <si>
    <t>15/03/2025</t>
  </si>
  <si>
    <t>29/01/2025</t>
  </si>
  <si>
    <t>INV-1003140</t>
  </si>
  <si>
    <t>06/02/2025</t>
  </si>
  <si>
    <t>INV-1003147</t>
  </si>
  <si>
    <t>M100538</t>
  </si>
  <si>
    <t>INV-1003148</t>
  </si>
  <si>
    <t>Eskom Rotek</t>
  </si>
  <si>
    <t>31/01/2024</t>
  </si>
  <si>
    <t>M100435</t>
  </si>
  <si>
    <t>INV-1002706</t>
  </si>
  <si>
    <t>18/03/2025</t>
  </si>
  <si>
    <t>26/07/2024</t>
  </si>
  <si>
    <t>M100230</t>
  </si>
  <si>
    <t>INV-1002935</t>
  </si>
  <si>
    <t>31/05/2024</t>
  </si>
  <si>
    <t>INV-1002878</t>
  </si>
  <si>
    <t>INV-1002915</t>
  </si>
  <si>
    <t>01/08/2024</t>
  </si>
  <si>
    <t>INV-1002948</t>
  </si>
  <si>
    <t>INV-1003097</t>
  </si>
  <si>
    <t>INV-1003103</t>
  </si>
  <si>
    <t>Sandi Ncemane</t>
  </si>
  <si>
    <t>10/12/2024</t>
  </si>
  <si>
    <t>M100590</t>
  </si>
  <si>
    <t>INV-1003089</t>
  </si>
  <si>
    <t>26/03/2024</t>
  </si>
  <si>
    <t>INV-1002783</t>
  </si>
  <si>
    <t>20/03/2025</t>
  </si>
  <si>
    <t>30/04/2024</t>
  </si>
  <si>
    <t>INV-1002824</t>
  </si>
  <si>
    <t>INV-1002840</t>
  </si>
  <si>
    <t>INV-1002841</t>
  </si>
  <si>
    <t>NTCSA</t>
  </si>
  <si>
    <t>M100449</t>
  </si>
  <si>
    <t>INV-1003070</t>
  </si>
  <si>
    <t>M100448</t>
  </si>
  <si>
    <t>INV-1003069</t>
  </si>
  <si>
    <t>M100447</t>
  </si>
  <si>
    <t>INV-1003068</t>
  </si>
  <si>
    <t>M100446</t>
  </si>
  <si>
    <t>INV-1003067</t>
  </si>
  <si>
    <t>M100417</t>
  </si>
  <si>
    <t>INV-1003065</t>
  </si>
  <si>
    <t>M100371</t>
  </si>
  <si>
    <t>INV-1003100</t>
  </si>
  <si>
    <t>31/122024</t>
  </si>
  <si>
    <t>M100299</t>
  </si>
  <si>
    <t>INV-1003099</t>
  </si>
  <si>
    <t>INV-1003104</t>
  </si>
  <si>
    <t>INV-1003105</t>
  </si>
  <si>
    <t>INV-1003106</t>
  </si>
  <si>
    <t>INV-1003107</t>
  </si>
  <si>
    <t>27/01/2024</t>
  </si>
  <si>
    <t>INV-1003123</t>
  </si>
  <si>
    <t>INV-1003125</t>
  </si>
  <si>
    <t>INV-1003127</t>
  </si>
  <si>
    <t>INV-1003128</t>
  </si>
  <si>
    <t>INV-1003129</t>
  </si>
  <si>
    <t>INV-1003130</t>
  </si>
  <si>
    <t>Servest</t>
  </si>
  <si>
    <t>23/12/2024</t>
  </si>
  <si>
    <t>M100581</t>
  </si>
  <si>
    <t>INV-1003096</t>
  </si>
  <si>
    <t>Southey Gauteng</t>
  </si>
  <si>
    <t>03/03/2024</t>
  </si>
  <si>
    <t>INV-1003156</t>
  </si>
  <si>
    <t>Southey KZN</t>
  </si>
  <si>
    <t>04/03/2024</t>
  </si>
  <si>
    <t>M100607</t>
  </si>
  <si>
    <t>INV-1003182</t>
  </si>
  <si>
    <t>19/03/2025</t>
  </si>
  <si>
    <t>Southey Cape Town</t>
  </si>
  <si>
    <t>M100608</t>
  </si>
  <si>
    <t>INV-1003183</t>
  </si>
  <si>
    <t>Soventix</t>
  </si>
  <si>
    <t>M100603</t>
  </si>
  <si>
    <t>INV-1003179</t>
  </si>
  <si>
    <t>22/03/2025</t>
  </si>
  <si>
    <t>Vashna Jagarnath</t>
  </si>
  <si>
    <t>M100600</t>
  </si>
  <si>
    <t>INV-1003157</t>
  </si>
  <si>
    <t>25/03/2025</t>
  </si>
  <si>
    <t>29/04/2024</t>
  </si>
  <si>
    <t>M100228</t>
  </si>
  <si>
    <t>INV-1002818</t>
  </si>
  <si>
    <t>27/03/2025</t>
  </si>
  <si>
    <t>21/01/2025</t>
  </si>
  <si>
    <t>M100456</t>
  </si>
  <si>
    <t>INV-1003121</t>
  </si>
  <si>
    <t>INV-1003131</t>
  </si>
  <si>
    <t>04/02/2025</t>
  </si>
  <si>
    <t>INV-1003143</t>
  </si>
  <si>
    <t>INV-1003146</t>
  </si>
  <si>
    <t>12/02/2025</t>
  </si>
  <si>
    <t>INV-1003151</t>
  </si>
  <si>
    <t>INV-1003170</t>
  </si>
  <si>
    <t>31/03/2025</t>
  </si>
  <si>
    <t>M100566</t>
  </si>
  <si>
    <t>INV-1003155</t>
  </si>
  <si>
    <t>Parkhome</t>
  </si>
  <si>
    <t>M100601</t>
  </si>
  <si>
    <t>INV-1003177</t>
  </si>
  <si>
    <t>28/03/2025</t>
  </si>
  <si>
    <t>Olwethu - R20038,15</t>
  </si>
  <si>
    <t>Randy - R32 476,50</t>
  </si>
  <si>
    <t>Khlekani - R639,09</t>
  </si>
  <si>
    <t>LNP Attorneys</t>
  </si>
  <si>
    <t>Invoices Raised Mar'25</t>
  </si>
  <si>
    <t>Customer</t>
  </si>
  <si>
    <t>Invoice Number</t>
  </si>
  <si>
    <t>Ricardo Mauritius Invoice to LNP Attorneys Calc</t>
  </si>
  <si>
    <t>Aneshree Padayatchi</t>
  </si>
  <si>
    <t>Consultant Fee</t>
  </si>
  <si>
    <t>Eskom Interest</t>
  </si>
  <si>
    <t>Disbusements</t>
  </si>
  <si>
    <t>Eskom Rotek Industries</t>
  </si>
  <si>
    <t>INV-1003153</t>
  </si>
  <si>
    <t>Bombela Operating Company</t>
  </si>
  <si>
    <t>INV-1003154</t>
  </si>
  <si>
    <t>Southey Holdings</t>
  </si>
  <si>
    <t>INV-1003160</t>
  </si>
  <si>
    <t>INV-1003161</t>
  </si>
  <si>
    <t>INV-1003162</t>
  </si>
  <si>
    <t>INV-1003163</t>
  </si>
  <si>
    <t>INV-1003164</t>
  </si>
  <si>
    <t>INV-1003165</t>
  </si>
  <si>
    <t>INV-1003166</t>
  </si>
  <si>
    <t>INV-1003167</t>
  </si>
  <si>
    <t>INV-1003168</t>
  </si>
  <si>
    <t>Eskom SOC</t>
  </si>
  <si>
    <t>INV-1003169</t>
  </si>
  <si>
    <t>INV-1003171</t>
  </si>
  <si>
    <t>INV-1003172</t>
  </si>
  <si>
    <t>INV-1003173</t>
  </si>
  <si>
    <t>INV-1003174</t>
  </si>
  <si>
    <t>INV-1003175</t>
  </si>
  <si>
    <t>INV-1003176</t>
  </si>
  <si>
    <t>Parkhome Modular Units</t>
  </si>
  <si>
    <t>INV-1003180</t>
  </si>
  <si>
    <t>LNP International Junior Fees</t>
  </si>
  <si>
    <t>INV-1003184</t>
  </si>
  <si>
    <t>INV-1003185</t>
  </si>
  <si>
    <t>INV-1003186</t>
  </si>
  <si>
    <t>INV-1003187</t>
  </si>
  <si>
    <t>Inspired SA Templates</t>
  </si>
  <si>
    <t>INV-1003188</t>
  </si>
  <si>
    <t>INV-1003189</t>
  </si>
  <si>
    <t>INV-1003196</t>
  </si>
  <si>
    <t>CANCELLED</t>
  </si>
  <si>
    <t>INV-1003197</t>
  </si>
  <si>
    <t>INV-1003198</t>
  </si>
  <si>
    <t>INV-1003199</t>
  </si>
  <si>
    <t>INV-1003200</t>
  </si>
  <si>
    <t>INV-1003201</t>
  </si>
  <si>
    <t>INV-1003202</t>
  </si>
  <si>
    <t>INV-1003203</t>
  </si>
  <si>
    <t>INV-1003204</t>
  </si>
  <si>
    <t>INV-1003205</t>
  </si>
  <si>
    <t>INV-1003206</t>
  </si>
  <si>
    <t>INV-1003207</t>
  </si>
  <si>
    <t>INV-1003208</t>
  </si>
  <si>
    <t>INV-1003209</t>
  </si>
  <si>
    <t>INV-1003210</t>
  </si>
  <si>
    <t>INV-1003211</t>
  </si>
  <si>
    <t>INV-1003212</t>
  </si>
  <si>
    <t>INV-1003213</t>
  </si>
  <si>
    <t>INV-1003214</t>
  </si>
  <si>
    <t>INV-1003215</t>
  </si>
  <si>
    <t>INV-1003216</t>
  </si>
  <si>
    <t>INV-1003217</t>
  </si>
  <si>
    <t>INV-1003218</t>
  </si>
  <si>
    <t>INV-1003219</t>
  </si>
  <si>
    <t>INV-1003220</t>
  </si>
  <si>
    <t>Royal Bafokeng</t>
  </si>
  <si>
    <t>INV-1003221</t>
  </si>
  <si>
    <t>Yellow Door Energy</t>
  </si>
  <si>
    <t>INV-1003222</t>
  </si>
  <si>
    <t>INV-1003223</t>
  </si>
  <si>
    <t>INV-1003224</t>
  </si>
  <si>
    <t>INV-1003225</t>
  </si>
  <si>
    <t>INV-1003226</t>
  </si>
  <si>
    <t>INV-1003227</t>
  </si>
  <si>
    <t>INV-1003229</t>
  </si>
  <si>
    <t>2920/000</t>
  </si>
  <si>
    <t>2790/000</t>
  </si>
  <si>
    <t>Capped Fee Disb</t>
  </si>
  <si>
    <t>Apr'25 Receipting</t>
  </si>
  <si>
    <t>Previous Employers</t>
  </si>
  <si>
    <t>03/04/2025</t>
  </si>
  <si>
    <t>10/06/2024</t>
  </si>
  <si>
    <t>INV-1002882</t>
  </si>
  <si>
    <t>07/04/2025</t>
  </si>
  <si>
    <t>M100553</t>
  </si>
  <si>
    <t>09/04/2025</t>
  </si>
  <si>
    <t>11/0/2025</t>
  </si>
  <si>
    <t>10/04/2025</t>
  </si>
  <si>
    <t>Transnet</t>
  </si>
  <si>
    <t>28/10/2022</t>
  </si>
  <si>
    <t>M100341</t>
  </si>
  <si>
    <t>INV-1001594</t>
  </si>
  <si>
    <t>14/04/2025</t>
  </si>
  <si>
    <t>30/11/2022</t>
  </si>
  <si>
    <t>INV-1001668</t>
  </si>
  <si>
    <t>28/04/2023</t>
  </si>
  <si>
    <t>M100377</t>
  </si>
  <si>
    <t>INV-1001984</t>
  </si>
  <si>
    <t>Bombela</t>
  </si>
  <si>
    <t>M100274</t>
  </si>
  <si>
    <t>15/04/2025</t>
  </si>
  <si>
    <t>17/04/2025</t>
  </si>
  <si>
    <t>24/04/2025</t>
  </si>
  <si>
    <t>INV-1003135</t>
  </si>
  <si>
    <t>25/04/2025</t>
  </si>
  <si>
    <t>LNP International Juniors</t>
  </si>
  <si>
    <t>30/04/2025</t>
  </si>
  <si>
    <t>southey KZN</t>
  </si>
  <si>
    <t>11/04/2025</t>
  </si>
  <si>
    <t>Royal Bafokeng Holdings</t>
  </si>
  <si>
    <t>M100614</t>
  </si>
  <si>
    <t>22/04/2025</t>
  </si>
  <si>
    <t>Invoices Raised Apr'25</t>
  </si>
  <si>
    <t>Eskom Holdings</t>
  </si>
  <si>
    <t>INV-1003230</t>
  </si>
  <si>
    <t>08/04/2025</t>
  </si>
  <si>
    <t>INV-1003231</t>
  </si>
  <si>
    <t>INV-1003232</t>
  </si>
  <si>
    <t>INV-1003233</t>
  </si>
  <si>
    <t>23/04/2025</t>
  </si>
  <si>
    <t>WMA</t>
  </si>
  <si>
    <t>INV-1003234</t>
  </si>
  <si>
    <t>DEPOSIT</t>
  </si>
  <si>
    <t>INV-1003235</t>
  </si>
  <si>
    <t>INV-1003236</t>
  </si>
  <si>
    <t>Cancelled</t>
  </si>
  <si>
    <t>INV-1003237</t>
  </si>
  <si>
    <t>INV-1003238</t>
  </si>
  <si>
    <t>INV-1003239</t>
  </si>
  <si>
    <t>INV-1003240</t>
  </si>
  <si>
    <t>INV-1003241</t>
  </si>
  <si>
    <t>INV-1003242</t>
  </si>
  <si>
    <t>INV-1003243</t>
  </si>
  <si>
    <t>INV-1003244</t>
  </si>
  <si>
    <t>INV-1003245</t>
  </si>
  <si>
    <t>INV-1003246</t>
  </si>
  <si>
    <t>INV-1003247</t>
  </si>
  <si>
    <t>INV-1003248</t>
  </si>
  <si>
    <t>INV-1003249</t>
  </si>
  <si>
    <t>ETS</t>
  </si>
  <si>
    <t>INV-1003250</t>
  </si>
  <si>
    <t>INV-1003251</t>
  </si>
  <si>
    <t>INV-1003252</t>
  </si>
  <si>
    <t>INV-1003253</t>
  </si>
  <si>
    <t>INV-1003254</t>
  </si>
  <si>
    <t>INV-1003255</t>
  </si>
  <si>
    <t>INV-1003256</t>
  </si>
  <si>
    <t>INV-1003257</t>
  </si>
  <si>
    <t>INV-1003258</t>
  </si>
  <si>
    <t>INV-1003259</t>
  </si>
  <si>
    <t>INV-1003260</t>
  </si>
  <si>
    <t>INV-1003261</t>
  </si>
  <si>
    <t>INV-1003262</t>
  </si>
  <si>
    <t>INV-1003263</t>
  </si>
  <si>
    <t>INV-1003264</t>
  </si>
  <si>
    <t>INV-1003265</t>
  </si>
  <si>
    <t>WMA - ON HOLD</t>
  </si>
  <si>
    <t>INV-1003266</t>
  </si>
  <si>
    <t>YDE</t>
  </si>
  <si>
    <t>INV-1003267</t>
  </si>
  <si>
    <t>INV-1003268</t>
  </si>
  <si>
    <t>INV-1003178</t>
  </si>
  <si>
    <t>INV-1003269</t>
  </si>
  <si>
    <t>INV-1003270</t>
  </si>
  <si>
    <t>INV-1003271</t>
  </si>
  <si>
    <t>LNP International (Juniors Fees)</t>
  </si>
  <si>
    <t>Invoices Raised May '25</t>
  </si>
  <si>
    <t>INV-1003272</t>
  </si>
  <si>
    <t>INV-1003273</t>
  </si>
  <si>
    <t>INV-1003274</t>
  </si>
  <si>
    <t>INV-1003275</t>
  </si>
  <si>
    <t>INV-1003276</t>
  </si>
  <si>
    <t>INV-1003277</t>
  </si>
  <si>
    <t>INV-1003278</t>
  </si>
  <si>
    <t>Transnet SOC</t>
  </si>
  <si>
    <t>INV-1003279</t>
  </si>
  <si>
    <t xml:space="preserve">NTCSA - WIP </t>
  </si>
  <si>
    <t>INV-1003280</t>
  </si>
  <si>
    <t>INV-1003281</t>
  </si>
  <si>
    <t>INV-1003282</t>
  </si>
  <si>
    <t>INV-1003283</t>
  </si>
  <si>
    <t>INV-1003284</t>
  </si>
  <si>
    <t>INV-1003285</t>
  </si>
  <si>
    <t>INV-1003286</t>
  </si>
  <si>
    <t>INV-1003287</t>
  </si>
  <si>
    <t>INV-1003288</t>
  </si>
  <si>
    <t>INV-1003289</t>
  </si>
  <si>
    <t>INV-1003290</t>
  </si>
  <si>
    <t>INV-1003291</t>
  </si>
  <si>
    <t>INV-1003292</t>
  </si>
  <si>
    <t>ETS Solutions SA 2</t>
  </si>
  <si>
    <t>INV-1003293</t>
  </si>
  <si>
    <t>INV-1003294</t>
  </si>
  <si>
    <t>INV-1003295</t>
  </si>
  <si>
    <t>INV-1003296</t>
  </si>
  <si>
    <t>INV-1003297</t>
  </si>
  <si>
    <t xml:space="preserve">IDC </t>
  </si>
  <si>
    <t>INV-1003298</t>
  </si>
  <si>
    <t>INV-1003299</t>
  </si>
  <si>
    <t>INV-1003300</t>
  </si>
  <si>
    <t>Lawyers for Human Rights (Pro Bono)</t>
  </si>
  <si>
    <t>INV-1003301</t>
  </si>
  <si>
    <t>INV-1003302</t>
  </si>
  <si>
    <t>INV-1003303</t>
  </si>
  <si>
    <t>Parkhome Modular Units - WIP</t>
  </si>
  <si>
    <t>INV-1003304</t>
  </si>
  <si>
    <t>INV-1003305</t>
  </si>
  <si>
    <t>INV-1003306</t>
  </si>
  <si>
    <t>INV-1003307</t>
  </si>
  <si>
    <t>INV-1003308</t>
  </si>
  <si>
    <t xml:space="preserve">Royal Bafokeng </t>
  </si>
  <si>
    <t>INV-1003309</t>
  </si>
  <si>
    <t>INV-1003310</t>
  </si>
  <si>
    <t>INV-1003311</t>
  </si>
  <si>
    <t>INV-1003312</t>
  </si>
  <si>
    <t>INV-1003313</t>
  </si>
  <si>
    <t>INV-1003314</t>
  </si>
  <si>
    <t>Nelson Mandela Foundation - Pro Bono</t>
  </si>
  <si>
    <t>INV-1003315</t>
  </si>
  <si>
    <t xml:space="preserve">Nordex </t>
  </si>
  <si>
    <t>INV-1003316</t>
  </si>
  <si>
    <t>Cooper Parry Group</t>
  </si>
  <si>
    <t>INV-1003317</t>
  </si>
  <si>
    <t>LNP International - Juniors Time</t>
  </si>
  <si>
    <t>May'25 Receipting</t>
  </si>
  <si>
    <t>05/05/2025</t>
  </si>
  <si>
    <t>06/05/2025</t>
  </si>
  <si>
    <t>26/08/2024</t>
  </si>
  <si>
    <t>M100196</t>
  </si>
  <si>
    <t>INV-1002953</t>
  </si>
  <si>
    <t>08/05/2025</t>
  </si>
  <si>
    <t>INV-1002954</t>
  </si>
  <si>
    <t>27/09/2024</t>
  </si>
  <si>
    <t>INV-1002998</t>
  </si>
  <si>
    <t>09/02/2025</t>
  </si>
  <si>
    <t>M100374</t>
  </si>
  <si>
    <t>INV-1001821</t>
  </si>
  <si>
    <t>09/05/2025</t>
  </si>
  <si>
    <t>INV-1001820</t>
  </si>
  <si>
    <t>M100403</t>
  </si>
  <si>
    <t>INV-1003064</t>
  </si>
  <si>
    <t>INV-1003101</t>
  </si>
  <si>
    <t>INV-1003124</t>
  </si>
  <si>
    <t>WMA Manganese</t>
  </si>
  <si>
    <t>07/05/2025</t>
  </si>
  <si>
    <t>M100620</t>
  </si>
  <si>
    <t>12/05/2025</t>
  </si>
  <si>
    <t>24/03/2025</t>
  </si>
  <si>
    <t>13/05/2025</t>
  </si>
  <si>
    <t>28/08/2024</t>
  </si>
  <si>
    <t>INV-1002960</t>
  </si>
  <si>
    <t>INV-1002981</t>
  </si>
  <si>
    <t>02/09/2024</t>
  </si>
  <si>
    <t>INV-1002986</t>
  </si>
  <si>
    <t>INV-1002993</t>
  </si>
  <si>
    <t>INV-1003017</t>
  </si>
  <si>
    <t>08/10/2024</t>
  </si>
  <si>
    <t>INV-1003024</t>
  </si>
  <si>
    <t>30/10/2024</t>
  </si>
  <si>
    <t>INV-1003030</t>
  </si>
  <si>
    <t>INV-1003035</t>
  </si>
  <si>
    <t>30/11/2024</t>
  </si>
  <si>
    <t>INV-1003062</t>
  </si>
  <si>
    <t>INV-1003066</t>
  </si>
  <si>
    <t>30/11/2025</t>
  </si>
  <si>
    <t>INV-1003088</t>
  </si>
  <si>
    <t>14/03/2025</t>
  </si>
  <si>
    <t xml:space="preserve">Eskom </t>
  </si>
  <si>
    <t>20/05/2025</t>
  </si>
  <si>
    <t>30/05/2025</t>
  </si>
  <si>
    <t>Transnet Pipeline</t>
  </si>
  <si>
    <t>30/03/2023</t>
  </si>
  <si>
    <t>INV-1001907</t>
  </si>
  <si>
    <t>M100328</t>
  </si>
  <si>
    <t>INV-1002425</t>
  </si>
  <si>
    <t>01/03/2024</t>
  </si>
  <si>
    <t>INV-1002752</t>
  </si>
  <si>
    <t>15/05/2025</t>
  </si>
  <si>
    <t>01/04/2025</t>
  </si>
  <si>
    <t>INV-1003228</t>
  </si>
  <si>
    <t>21/05/2025</t>
  </si>
  <si>
    <t>23/05/2025</t>
  </si>
  <si>
    <t>11/03/2025</t>
  </si>
  <si>
    <t>27/05/2025</t>
  </si>
  <si>
    <t>June'25 Receipting</t>
  </si>
  <si>
    <t>Invoices Raised June 2025</t>
  </si>
  <si>
    <t>Invoices Raised July '25</t>
  </si>
  <si>
    <t>July'25 Receipting</t>
  </si>
  <si>
    <t>Invoices Raised Aug '25</t>
  </si>
  <si>
    <t>Aug'25 Receipting</t>
  </si>
  <si>
    <t>Invoices Raised Sept '25</t>
  </si>
  <si>
    <t>Sept'25 Receipting</t>
  </si>
  <si>
    <t>Invoices Raised Oct '25</t>
  </si>
  <si>
    <t>Oct'25 Receipting</t>
  </si>
  <si>
    <t>Invoices Raised Nov '25</t>
  </si>
  <si>
    <t>Nov'25 Receipting</t>
  </si>
  <si>
    <t>Invoices Raised Dec '25</t>
  </si>
  <si>
    <t>Dec'25 Receipting</t>
  </si>
  <si>
    <t>Invoices Raised Jan '26</t>
  </si>
  <si>
    <t>Jan '25 Receipting</t>
  </si>
  <si>
    <t>Invoices Raised Feb '26</t>
  </si>
  <si>
    <t>Feb '25 Receipting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</si>
</sst>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#,##0.000000000_ ;[Red]\-#,##0.00000000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12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i/>
      <u/>
      <sz val="8"/>
      <color theme="1"/>
      <name val="Arial"/>
      <family val="2"/>
    </font>
    <font>
      <b/>
      <i/>
      <u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16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2" xfId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top"/>
    </xf>
    <xf numFmtId="164" fontId="2" fillId="0" borderId="0" xfId="1" applyFont="1" applyBorder="1" applyAlignment="1">
      <alignment vertical="top"/>
    </xf>
    <xf numFmtId="164" fontId="2" fillId="0" borderId="0" xfId="1" applyFont="1" applyFill="1"/>
    <xf numFmtId="164" fontId="2" fillId="0" borderId="0" xfId="1" applyFont="1" applyBorder="1"/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/>
    </xf>
    <xf numFmtId="164" fontId="2" fillId="0" borderId="0" xfId="1" applyFont="1" applyAlignment="1"/>
    <xf numFmtId="9" fontId="2" fillId="0" borderId="0" xfId="0" applyNumberFormat="1" applyFont="1"/>
    <xf numFmtId="164" fontId="2" fillId="0" borderId="0" xfId="1" applyFont="1" applyFill="1" applyAlignment="1"/>
    <xf numFmtId="164" fontId="2" fillId="0" borderId="0" xfId="1" applyFont="1" applyFill="1" applyBorder="1" applyAlignment="1">
      <alignment vertical="top"/>
    </xf>
    <xf numFmtId="40" fontId="2" fillId="0" borderId="0" xfId="0" applyNumberFormat="1" applyFont="1"/>
    <xf numFmtId="40" fontId="2" fillId="0" borderId="0" xfId="1" applyNumberFormat="1" applyFont="1"/>
    <xf numFmtId="40" fontId="2" fillId="0" borderId="2" xfId="0" applyNumberFormat="1" applyFont="1" applyBorder="1"/>
    <xf numFmtId="40" fontId="4" fillId="0" borderId="1" xfId="0" applyNumberFormat="1" applyFont="1" applyBorder="1" applyAlignment="1">
      <alignment horizontal="center"/>
    </xf>
    <xf numFmtId="40" fontId="2" fillId="0" borderId="0" xfId="0" applyNumberFormat="1" applyFont="1" applyAlignment="1">
      <alignment horizontal="center"/>
    </xf>
    <xf numFmtId="40" fontId="2" fillId="0" borderId="0" xfId="2" applyNumberFormat="1" applyFont="1"/>
    <xf numFmtId="40" fontId="2" fillId="0" borderId="0" xfId="1" applyNumberFormat="1" applyFont="1" applyFill="1"/>
    <xf numFmtId="40" fontId="2" fillId="0" borderId="0" xfId="1" applyNumberFormat="1" applyFont="1" applyAlignment="1">
      <alignment horizontal="right"/>
    </xf>
    <xf numFmtId="165" fontId="2" fillId="0" borderId="0" xfId="0" applyNumberFormat="1" applyFont="1"/>
    <xf numFmtId="0" fontId="11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3" xfId="0" applyFont="1" applyBorder="1"/>
    <xf numFmtId="2" fontId="12" fillId="0" borderId="0" xfId="0" applyNumberFormat="1" applyFont="1"/>
    <xf numFmtId="0" fontId="13" fillId="0" borderId="0" xfId="0" applyFont="1"/>
    <xf numFmtId="0" fontId="7" fillId="0" borderId="0" xfId="0" applyFont="1"/>
    <xf numFmtId="0" fontId="14" fillId="0" borderId="0" xfId="0" applyFont="1" applyAlignment="1">
      <alignment wrapText="1"/>
    </xf>
    <xf numFmtId="14" fontId="14" fillId="0" borderId="0" xfId="0" applyNumberFormat="1" applyFont="1" applyAlignment="1">
      <alignment horizontal="center"/>
    </xf>
    <xf numFmtId="0" fontId="14" fillId="0" borderId="0" xfId="0" applyFont="1"/>
    <xf numFmtId="164" fontId="14" fillId="0" borderId="0" xfId="1" applyFont="1" applyFill="1"/>
    <xf numFmtId="164" fontId="14" fillId="0" borderId="0" xfId="1" applyFont="1"/>
    <xf numFmtId="164" fontId="14" fillId="0" borderId="0" xfId="0" applyNumberFormat="1" applyFont="1"/>
    <xf numFmtId="164" fontId="2" fillId="3" borderId="0" xfId="0" applyNumberFormat="1" applyFont="1" applyFill="1"/>
    <xf numFmtId="164" fontId="15" fillId="0" borderId="0" xfId="0" applyNumberFormat="1" applyFont="1"/>
    <xf numFmtId="14" fontId="2" fillId="0" borderId="0" xfId="0" applyNumberFormat="1" applyFont="1"/>
    <xf numFmtId="0" fontId="16" fillId="0" borderId="0" xfId="0" applyFont="1"/>
    <xf numFmtId="1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2" fillId="0" borderId="0" xfId="0" applyNumberFormat="1" applyFont="1" applyAlignment="1">
      <alignment horizontal="left" vertical="top"/>
    </xf>
    <xf numFmtId="164" fontId="2" fillId="2" borderId="0" xfId="0" applyNumberFormat="1" applyFont="1" applyFill="1"/>
    <xf numFmtId="4" fontId="2" fillId="0" borderId="2" xfId="0" applyNumberFormat="1" applyFont="1" applyBorder="1"/>
    <xf numFmtId="164" fontId="11" fillId="0" borderId="3" xfId="0" applyNumberFormat="1" applyFont="1" applyBorder="1"/>
    <xf numFmtId="10" fontId="2" fillId="0" borderId="0" xfId="2" applyNumberFormat="1" applyFont="1"/>
    <xf numFmtId="164" fontId="2" fillId="0" borderId="0" xfId="1" applyFont="1" applyFill="1" applyBorder="1"/>
    <xf numFmtId="164" fontId="2" fillId="0" borderId="0" xfId="1" applyFont="1" applyAlignment="1">
      <alignment horizontal="right"/>
    </xf>
    <xf numFmtId="164" fontId="15" fillId="0" borderId="2" xfId="0" applyNumberFormat="1" applyFont="1" applyBorder="1"/>
    <xf numFmtId="164" fontId="2" fillId="0" borderId="0" xfId="0" applyNumberFormat="1" applyFont="1" applyAlignment="1">
      <alignment horizontal="right"/>
    </xf>
    <xf numFmtId="40" fontId="4" fillId="0" borderId="3" xfId="0" applyNumberFormat="1" applyFont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10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11" fillId="0" borderId="3" xfId="1" applyFont="1" applyBorder="1"/>
    <xf numFmtId="164" fontId="4" fillId="0" borderId="3" xfId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0" fontId="4" fillId="0" borderId="3" xfId="0" applyNumberFormat="1" applyFont="1" applyBorder="1" applyAlignment="1">
      <alignment horizontal="center"/>
    </xf>
    <xf numFmtId="40" fontId="7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4">
    <cellStyle name="Comma" xfId="1" builtinId="3"/>
    <cellStyle name="Comma 2" xfId="3" xr:uid="{45BF8854-AAAE-4113-B605-26E676CBA899}"/>
    <cellStyle name="Normal" xfId="0" builtinId="0"/>
    <cellStyle name="Percent" xfId="2" builtinId="5"/>
  </cellStyles>
  <dxfs count="4">
    <dxf>
      <font>
        <b/>
        <i val="0"/>
      </font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ash" pivot="0" count="4" xr9:uid="{B5506AC8-CDB2-47D8-8AB0-AE08F56A9931}">
      <tableStyleElement type="wholeTable" dxfId="3"/>
      <tableStyleElement type="headerRow" dxfId="2"/>
      <tableStyleElement type="totalRow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FEFF-3484-49DF-B90D-7240A4788769}">
  <dimension ref="B2:AD29"/>
  <sheetViews>
    <sheetView topLeftCell="O1" zoomScale="130" zoomScaleNormal="130" workbookViewId="0">
      <selection activeCell="AA19" sqref="AA19"/>
    </sheetView>
  </sheetViews>
  <sheetFormatPr defaultColWidth="8.85546875" defaultRowHeight="11.25" outlineLevelCol="1"/>
  <cols>
    <col min="1" max="1" width="8.85546875" style="1"/>
    <col min="2" max="2" width="32.7109375" style="1" bestFit="1" customWidth="1"/>
    <col min="3" max="3" width="14.140625" style="1" bestFit="1" customWidth="1"/>
    <col min="4" max="4" width="12.7109375" style="1" bestFit="1" customWidth="1"/>
    <col min="5" max="5" width="12.28515625" style="1" bestFit="1" customWidth="1"/>
    <col min="6" max="6" width="8.85546875" style="1"/>
    <col min="7" max="7" width="17" style="1" bestFit="1" customWidth="1"/>
    <col min="8" max="8" width="11.7109375" style="1" bestFit="1" customWidth="1"/>
    <col min="9" max="9" width="8.85546875" style="1"/>
    <col min="10" max="10" width="16.5703125" style="1" bestFit="1" customWidth="1"/>
    <col min="11" max="11" width="29.140625" style="1" customWidth="1"/>
    <col min="12" max="12" width="10.28515625" style="1" customWidth="1"/>
    <col min="13" max="21" width="20" style="1" customWidth="1" outlineLevel="1"/>
    <col min="22" max="25" width="11.42578125" style="1" customWidth="1" outlineLevel="1"/>
    <col min="26" max="26" width="13.42578125" style="1" bestFit="1" customWidth="1" outlineLevel="1"/>
    <col min="27" max="27" width="2.5703125" style="1" customWidth="1" outlineLevel="1"/>
    <col min="28" max="28" width="16.42578125" style="1" bestFit="1" customWidth="1" outlineLevel="1"/>
    <col min="29" max="30" width="7.140625" style="1" customWidth="1" outlineLevel="1"/>
    <col min="31" max="31" width="7.140625" style="1" customWidth="1"/>
    <col min="32" max="16384" width="8.85546875" style="1"/>
  </cols>
  <sheetData>
    <row r="2" spans="2:30" ht="15.75">
      <c r="B2" s="2" t="s">
        <v>0</v>
      </c>
    </row>
    <row r="3" spans="2:30" ht="15.75">
      <c r="B3" s="2"/>
    </row>
    <row r="4" spans="2:30" ht="15.75">
      <c r="B4" s="2" t="s">
        <v>1</v>
      </c>
    </row>
    <row r="5" spans="2:30" ht="15.75">
      <c r="B5" s="2"/>
    </row>
    <row r="6" spans="2:30" ht="15.75">
      <c r="B6" s="2" t="s">
        <v>2</v>
      </c>
    </row>
    <row r="9" spans="2:30" ht="12">
      <c r="B9" s="25" t="s">
        <v>3</v>
      </c>
      <c r="C9" s="25" t="s">
        <v>4</v>
      </c>
      <c r="D9" s="25" t="s">
        <v>5</v>
      </c>
      <c r="E9" s="25" t="s">
        <v>6</v>
      </c>
      <c r="G9" s="25" t="s">
        <v>7</v>
      </c>
      <c r="H9" s="25" t="s">
        <v>8</v>
      </c>
      <c r="J9" s="25" t="s">
        <v>9</v>
      </c>
      <c r="K9" s="25" t="s">
        <v>10</v>
      </c>
      <c r="M9" s="25" t="s">
        <v>11</v>
      </c>
      <c r="N9" s="25" t="s">
        <v>12</v>
      </c>
      <c r="O9" s="25" t="s">
        <v>13</v>
      </c>
      <c r="P9" s="25" t="s">
        <v>14</v>
      </c>
      <c r="Q9" s="25" t="s">
        <v>15</v>
      </c>
      <c r="R9" s="25" t="s">
        <v>16</v>
      </c>
      <c r="S9" s="25" t="s">
        <v>17</v>
      </c>
      <c r="T9" s="25" t="s">
        <v>18</v>
      </c>
      <c r="U9" s="25" t="s">
        <v>19</v>
      </c>
      <c r="V9" s="25" t="s">
        <v>20</v>
      </c>
      <c r="W9" s="25" t="s">
        <v>21</v>
      </c>
      <c r="X9" s="25" t="s">
        <v>22</v>
      </c>
      <c r="Y9" s="25" t="s">
        <v>23</v>
      </c>
      <c r="Z9" s="25" t="s">
        <v>24</v>
      </c>
      <c r="AB9" s="25" t="s">
        <v>25</v>
      </c>
      <c r="AD9" s="25" t="s">
        <v>26</v>
      </c>
    </row>
    <row r="11" spans="2:30">
      <c r="B11" s="1" t="s">
        <v>27</v>
      </c>
      <c r="C11" s="3" t="s">
        <v>28</v>
      </c>
      <c r="D11" s="5">
        <f>E11*12</f>
        <v>240000</v>
      </c>
      <c r="E11" s="5">
        <v>20000</v>
      </c>
      <c r="H11" s="7">
        <f>D11</f>
        <v>240000</v>
      </c>
      <c r="M11" s="7"/>
      <c r="AB11" s="5">
        <v>0</v>
      </c>
      <c r="AD11" s="5">
        <v>0</v>
      </c>
    </row>
    <row r="12" spans="2:30">
      <c r="B12" s="1" t="s">
        <v>29</v>
      </c>
      <c r="C12" s="3" t="s">
        <v>30</v>
      </c>
      <c r="D12" s="5">
        <f>E12*12</f>
        <v>90000</v>
      </c>
      <c r="E12" s="5">
        <v>7500</v>
      </c>
      <c r="H12" s="7">
        <f>D12</f>
        <v>90000</v>
      </c>
      <c r="AB12" s="5">
        <v>0</v>
      </c>
      <c r="AD12" s="5">
        <v>0</v>
      </c>
    </row>
    <row r="13" spans="2:30">
      <c r="B13" s="1" t="s">
        <v>31</v>
      </c>
      <c r="C13" s="3" t="s">
        <v>32</v>
      </c>
      <c r="D13" s="5">
        <v>1668000</v>
      </c>
      <c r="E13" s="5">
        <f>D13/12</f>
        <v>139000</v>
      </c>
      <c r="G13" s="7">
        <f>D13</f>
        <v>1668000</v>
      </c>
      <c r="J13" s="7">
        <f>G13*3</f>
        <v>5004000</v>
      </c>
      <c r="K13" s="7">
        <f>G13*3.3</f>
        <v>5504400</v>
      </c>
      <c r="L13" s="7"/>
      <c r="M13" s="7">
        <f t="shared" ref="M13:M24" si="0">J13*1/3</f>
        <v>1668000</v>
      </c>
      <c r="N13" s="7">
        <f>('Indirect Cost Budget'!$C$59/11)/10</f>
        <v>85927.072927272704</v>
      </c>
      <c r="O13" s="7">
        <f>('Indirect Cost Budget'!$C$59/11)/11</f>
        <v>78115.52084297518</v>
      </c>
      <c r="P13" s="7">
        <f>('Indirect Cost Budget'!$C$59/11)/11</f>
        <v>78115.52084297518</v>
      </c>
      <c r="Q13" s="7">
        <f>('Indirect Cost Budget'!$C$59/11)/11</f>
        <v>78115.52084297518</v>
      </c>
      <c r="R13" s="7">
        <f>('Indirect Cost Budget'!$C$59/11)/11</f>
        <v>78115.52084297518</v>
      </c>
      <c r="S13" s="7">
        <f>('Indirect Cost Budget'!$C$59/11)/11</f>
        <v>78115.52084297518</v>
      </c>
      <c r="T13" s="7">
        <f>('Indirect Cost Budget'!$C$59/11)/11</f>
        <v>78115.52084297518</v>
      </c>
      <c r="U13" s="7">
        <f>('Indirect Cost Budget'!$C$59/11)/11</f>
        <v>78115.52084297518</v>
      </c>
      <c r="V13" s="7">
        <f>('Indirect Cost Budget'!$C$59/11)/11</f>
        <v>78115.52084297518</v>
      </c>
      <c r="W13" s="7">
        <f>('Indirect Cost Budget'!$C$59/11)/11</f>
        <v>78115.52084297518</v>
      </c>
      <c r="X13" s="7">
        <f>('Indirect Cost Budget'!$C$59/11)/11</f>
        <v>78115.52084297518</v>
      </c>
      <c r="Y13" s="7">
        <v>0</v>
      </c>
      <c r="Z13" s="7">
        <f>SUM(N13:Y13)</f>
        <v>867082.2813570248</v>
      </c>
      <c r="AB13" s="5">
        <v>0</v>
      </c>
      <c r="AD13" s="5">
        <v>0</v>
      </c>
    </row>
    <row r="14" spans="2:30">
      <c r="B14" s="1" t="s">
        <v>33</v>
      </c>
      <c r="C14" s="3" t="s">
        <v>34</v>
      </c>
      <c r="D14" s="5">
        <v>720000</v>
      </c>
      <c r="E14" s="5">
        <f t="shared" ref="E14:E19" si="1">D14/12</f>
        <v>60000</v>
      </c>
      <c r="G14" s="7">
        <f>D14</f>
        <v>720000</v>
      </c>
      <c r="J14" s="7">
        <f t="shared" ref="J14:J22" si="2">G14*3</f>
        <v>2160000</v>
      </c>
      <c r="K14" s="7">
        <f t="shared" ref="K14:K24" si="3">G14*3.3</f>
        <v>2376000</v>
      </c>
      <c r="L14" s="7"/>
      <c r="M14" s="7">
        <f t="shared" si="0"/>
        <v>720000</v>
      </c>
      <c r="N14" s="7">
        <f>('Indirect Cost Budget'!$C$59/11)/10</f>
        <v>85927.072927272704</v>
      </c>
      <c r="O14" s="7">
        <f>('Indirect Cost Budget'!$C$59/11)/11</f>
        <v>78115.52084297518</v>
      </c>
      <c r="P14" s="7">
        <f>('Indirect Cost Budget'!$C$59/11)/11</f>
        <v>78115.52084297518</v>
      </c>
      <c r="Q14" s="7">
        <f>('Indirect Cost Budget'!$C$59/11)/11</f>
        <v>78115.52084297518</v>
      </c>
      <c r="R14" s="7">
        <f>('Indirect Cost Budget'!$C$59/11)/11</f>
        <v>78115.52084297518</v>
      </c>
      <c r="S14" s="7">
        <f>('Indirect Cost Budget'!$C$59/11)/11</f>
        <v>78115.52084297518</v>
      </c>
      <c r="T14" s="7">
        <f>('Indirect Cost Budget'!$C$59/11)/11</f>
        <v>78115.52084297518</v>
      </c>
      <c r="U14" s="7">
        <f>('Indirect Cost Budget'!$C$59/11)/11</f>
        <v>78115.52084297518</v>
      </c>
      <c r="V14" s="7">
        <f>('Indirect Cost Budget'!$C$59/11)/11</f>
        <v>78115.52084297518</v>
      </c>
      <c r="W14" s="7">
        <f>('Indirect Cost Budget'!$C$59/11)/11</f>
        <v>78115.52084297518</v>
      </c>
      <c r="X14" s="7">
        <f>('Indirect Cost Budget'!$C$59/11)/11</f>
        <v>78115.52084297518</v>
      </c>
      <c r="Y14" s="7">
        <v>0</v>
      </c>
      <c r="Z14" s="7">
        <f t="shared" ref="Z14:Z24" si="4">SUM(N14:Y14)</f>
        <v>867082.2813570248</v>
      </c>
      <c r="AB14" s="5">
        <v>0</v>
      </c>
      <c r="AD14" s="5">
        <v>0</v>
      </c>
    </row>
    <row r="15" spans="2:30">
      <c r="B15" s="1" t="s">
        <v>35</v>
      </c>
      <c r="C15" s="24" t="s">
        <v>36</v>
      </c>
      <c r="D15" s="5">
        <v>900000</v>
      </c>
      <c r="E15" s="5">
        <f t="shared" si="1"/>
        <v>75000</v>
      </c>
      <c r="G15" s="7">
        <f t="shared" ref="G15" si="5">D15</f>
        <v>900000</v>
      </c>
      <c r="J15" s="7">
        <f t="shared" si="2"/>
        <v>2700000</v>
      </c>
      <c r="K15" s="7">
        <f t="shared" si="3"/>
        <v>2970000</v>
      </c>
      <c r="L15" s="7"/>
      <c r="M15" s="7">
        <f t="shared" si="0"/>
        <v>900000</v>
      </c>
      <c r="N15" s="7">
        <f>('Indirect Cost Budget'!$C$59/11)/10</f>
        <v>85927.072927272704</v>
      </c>
      <c r="O15" s="7">
        <f>('Indirect Cost Budget'!$C$59/11)/11</f>
        <v>78115.52084297518</v>
      </c>
      <c r="P15" s="7">
        <f>('Indirect Cost Budget'!$C$59/11)/11</f>
        <v>78115.52084297518</v>
      </c>
      <c r="Q15" s="7">
        <f>('Indirect Cost Budget'!$C$59/11)/11</f>
        <v>78115.52084297518</v>
      </c>
      <c r="R15" s="7">
        <f>('Indirect Cost Budget'!$C$59/11)/11</f>
        <v>78115.52084297518</v>
      </c>
      <c r="S15" s="7">
        <f>('Indirect Cost Budget'!$C$59/11)/11</f>
        <v>78115.52084297518</v>
      </c>
      <c r="T15" s="7">
        <f>('Indirect Cost Budget'!$C$59/11)/11</f>
        <v>78115.52084297518</v>
      </c>
      <c r="U15" s="7">
        <f>('Indirect Cost Budget'!$C$59/11)/11</f>
        <v>78115.52084297518</v>
      </c>
      <c r="V15" s="7">
        <f>('Indirect Cost Budget'!$C$59/11)/11</f>
        <v>78115.52084297518</v>
      </c>
      <c r="W15" s="7">
        <f>('Indirect Cost Budget'!$C$59/11)/11</f>
        <v>78115.52084297518</v>
      </c>
      <c r="X15" s="7">
        <f>('Indirect Cost Budget'!$C$59/11)/11</f>
        <v>78115.52084297518</v>
      </c>
      <c r="Y15" s="7">
        <v>0</v>
      </c>
      <c r="Z15" s="7">
        <f t="shared" si="4"/>
        <v>867082.2813570248</v>
      </c>
      <c r="AB15" s="5">
        <v>0</v>
      </c>
      <c r="AD15" s="5">
        <v>0</v>
      </c>
    </row>
    <row r="16" spans="2:30">
      <c r="B16" s="1" t="s">
        <v>37</v>
      </c>
      <c r="C16" s="24" t="s">
        <v>38</v>
      </c>
      <c r="D16" s="5">
        <v>1230000</v>
      </c>
      <c r="E16" s="5">
        <f t="shared" si="1"/>
        <v>102500</v>
      </c>
      <c r="G16" s="7">
        <f t="shared" ref="G16:G24" si="6">D16</f>
        <v>1230000</v>
      </c>
      <c r="J16" s="7">
        <f t="shared" si="2"/>
        <v>3690000</v>
      </c>
      <c r="K16" s="7">
        <f t="shared" si="3"/>
        <v>4059000</v>
      </c>
      <c r="L16" s="7"/>
      <c r="M16" s="7">
        <f t="shared" si="0"/>
        <v>1230000</v>
      </c>
      <c r="N16" s="7">
        <f>('Indirect Cost Budget'!$C$59/11)/10</f>
        <v>85927.072927272704</v>
      </c>
      <c r="O16" s="7">
        <f>('Indirect Cost Budget'!$C$59/11)/11</f>
        <v>78115.52084297518</v>
      </c>
      <c r="P16" s="7">
        <f>('Indirect Cost Budget'!$C$59/11)/11</f>
        <v>78115.52084297518</v>
      </c>
      <c r="Q16" s="7">
        <f>('Indirect Cost Budget'!$C$59/11)/11</f>
        <v>78115.52084297518</v>
      </c>
      <c r="R16" s="7">
        <f>('Indirect Cost Budget'!$C$59/11)/11</f>
        <v>78115.52084297518</v>
      </c>
      <c r="S16" s="7">
        <f>('Indirect Cost Budget'!$C$59/11)/11</f>
        <v>78115.52084297518</v>
      </c>
      <c r="T16" s="7">
        <f>('Indirect Cost Budget'!$C$59/11)/11</f>
        <v>78115.52084297518</v>
      </c>
      <c r="U16" s="7">
        <f>('Indirect Cost Budget'!$C$59/11)/11</f>
        <v>78115.52084297518</v>
      </c>
      <c r="V16" s="7">
        <f>('Indirect Cost Budget'!$C$59/11)/11</f>
        <v>78115.52084297518</v>
      </c>
      <c r="W16" s="7">
        <f>('Indirect Cost Budget'!$C$59/11)/11</f>
        <v>78115.52084297518</v>
      </c>
      <c r="X16" s="7">
        <f>('Indirect Cost Budget'!$C$59/11)/11</f>
        <v>78115.52084297518</v>
      </c>
      <c r="Y16" s="7">
        <v>0</v>
      </c>
      <c r="Z16" s="7">
        <f t="shared" si="4"/>
        <v>867082.2813570248</v>
      </c>
      <c r="AB16" s="5">
        <v>0</v>
      </c>
      <c r="AD16" s="5">
        <v>0</v>
      </c>
    </row>
    <row r="17" spans="2:30">
      <c r="B17" s="1" t="s">
        <v>39</v>
      </c>
      <c r="C17" s="24"/>
      <c r="D17" s="5">
        <v>360000</v>
      </c>
      <c r="E17" s="5">
        <f t="shared" si="1"/>
        <v>30000</v>
      </c>
      <c r="G17" s="7">
        <f t="shared" si="6"/>
        <v>360000</v>
      </c>
      <c r="J17" s="7">
        <f t="shared" si="2"/>
        <v>1080000</v>
      </c>
      <c r="K17" s="7">
        <f t="shared" si="3"/>
        <v>1188000</v>
      </c>
      <c r="L17" s="7"/>
      <c r="M17" s="7">
        <f t="shared" si="0"/>
        <v>360000</v>
      </c>
      <c r="N17" s="7">
        <f>('Indirect Cost Budget'!$C$59/11)/10</f>
        <v>85927.072927272704</v>
      </c>
      <c r="O17" s="7">
        <f>('Indirect Cost Budget'!$C$59/11)/11</f>
        <v>78115.52084297518</v>
      </c>
      <c r="P17" s="7">
        <f>('Indirect Cost Budget'!$C$59/11)/11</f>
        <v>78115.52084297518</v>
      </c>
      <c r="Q17" s="7">
        <f>('Indirect Cost Budget'!$C$59/11)/11</f>
        <v>78115.52084297518</v>
      </c>
      <c r="R17" s="7">
        <f>('Indirect Cost Budget'!$C$59/11)/11</f>
        <v>78115.52084297518</v>
      </c>
      <c r="S17" s="7">
        <f>('Indirect Cost Budget'!$C$59/11)/11</f>
        <v>78115.52084297518</v>
      </c>
      <c r="T17" s="7">
        <f>('Indirect Cost Budget'!$C$59/11)/11</f>
        <v>78115.52084297518</v>
      </c>
      <c r="U17" s="7">
        <f>('Indirect Cost Budget'!$C$59/11)/11</f>
        <v>78115.52084297518</v>
      </c>
      <c r="V17" s="7">
        <f>('Indirect Cost Budget'!$C$59/11)/11</f>
        <v>78115.52084297518</v>
      </c>
      <c r="W17" s="7">
        <f>('Indirect Cost Budget'!$C$59/11)/11</f>
        <v>78115.52084297518</v>
      </c>
      <c r="X17" s="7">
        <f>('Indirect Cost Budget'!$C$59/11)/11</f>
        <v>78115.52084297518</v>
      </c>
      <c r="Y17" s="7"/>
      <c r="Z17" s="7">
        <f t="shared" si="4"/>
        <v>867082.2813570248</v>
      </c>
      <c r="AB17" s="5"/>
      <c r="AD17" s="5"/>
    </row>
    <row r="18" spans="2:30">
      <c r="B18" s="1" t="s">
        <v>40</v>
      </c>
      <c r="C18" s="24"/>
      <c r="D18" s="5">
        <v>420000</v>
      </c>
      <c r="E18" s="5">
        <f t="shared" si="1"/>
        <v>35000</v>
      </c>
      <c r="G18" s="7">
        <f t="shared" si="6"/>
        <v>420000</v>
      </c>
      <c r="J18" s="7">
        <f t="shared" si="2"/>
        <v>1260000</v>
      </c>
      <c r="K18" s="7">
        <f t="shared" si="3"/>
        <v>1386000</v>
      </c>
      <c r="L18" s="7"/>
      <c r="M18" s="7">
        <f t="shared" si="0"/>
        <v>420000</v>
      </c>
      <c r="N18" s="7">
        <f>('Indirect Cost Budget'!$C$59/11)/10</f>
        <v>85927.072927272704</v>
      </c>
      <c r="O18" s="7">
        <f>('Indirect Cost Budget'!$C$59/11)/11</f>
        <v>78115.52084297518</v>
      </c>
      <c r="P18" s="7">
        <f>('Indirect Cost Budget'!$C$59/11)/11</f>
        <v>78115.52084297518</v>
      </c>
      <c r="Q18" s="7">
        <f>('Indirect Cost Budget'!$C$59/11)/11</f>
        <v>78115.52084297518</v>
      </c>
      <c r="R18" s="7">
        <f>('Indirect Cost Budget'!$C$59/11)/11</f>
        <v>78115.52084297518</v>
      </c>
      <c r="S18" s="7">
        <f>('Indirect Cost Budget'!$C$59/11)/11</f>
        <v>78115.52084297518</v>
      </c>
      <c r="T18" s="7">
        <f>('Indirect Cost Budget'!$C$59/11)/11</f>
        <v>78115.52084297518</v>
      </c>
      <c r="U18" s="7">
        <f>('Indirect Cost Budget'!$C$59/11)/11</f>
        <v>78115.52084297518</v>
      </c>
      <c r="V18" s="7">
        <f>('Indirect Cost Budget'!$C$59/11)/11</f>
        <v>78115.52084297518</v>
      </c>
      <c r="W18" s="7">
        <f>('Indirect Cost Budget'!$C$59/11)/11</f>
        <v>78115.52084297518</v>
      </c>
      <c r="X18" s="7">
        <f>('Indirect Cost Budget'!$C$59/11)/11</f>
        <v>78115.52084297518</v>
      </c>
      <c r="Y18" s="7"/>
      <c r="Z18" s="7">
        <f t="shared" si="4"/>
        <v>867082.2813570248</v>
      </c>
      <c r="AB18" s="5"/>
      <c r="AD18" s="5"/>
    </row>
    <row r="19" spans="2:30">
      <c r="B19" s="1" t="s">
        <v>41</v>
      </c>
      <c r="C19" s="24"/>
      <c r="D19" s="5">
        <v>264000</v>
      </c>
      <c r="E19" s="5">
        <f t="shared" si="1"/>
        <v>22000</v>
      </c>
      <c r="G19" s="7">
        <f t="shared" si="6"/>
        <v>264000</v>
      </c>
      <c r="J19" s="7">
        <f t="shared" si="2"/>
        <v>792000</v>
      </c>
      <c r="K19" s="7">
        <f t="shared" si="3"/>
        <v>871200</v>
      </c>
      <c r="L19" s="7"/>
      <c r="M19" s="7">
        <f t="shared" si="0"/>
        <v>264000</v>
      </c>
      <c r="N19" s="7">
        <f>('Indirect Cost Budget'!$C$59/11)/10</f>
        <v>85927.072927272704</v>
      </c>
      <c r="O19" s="7">
        <f>('Indirect Cost Budget'!$C$59/11)/11</f>
        <v>78115.52084297518</v>
      </c>
      <c r="P19" s="7">
        <f>('Indirect Cost Budget'!$C$59/11)/11</f>
        <v>78115.52084297518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>
        <f t="shared" si="4"/>
        <v>242158.11461322306</v>
      </c>
      <c r="AB19" s="5"/>
      <c r="AD19" s="5"/>
    </row>
    <row r="20" spans="2:30">
      <c r="B20" s="1" t="s">
        <v>42</v>
      </c>
      <c r="C20" s="24"/>
      <c r="D20" s="5">
        <v>2500000</v>
      </c>
      <c r="E20" s="5">
        <f>D20/12</f>
        <v>208333.33333333334</v>
      </c>
      <c r="G20" s="7">
        <f t="shared" si="6"/>
        <v>2500000</v>
      </c>
      <c r="J20" s="7">
        <f t="shared" si="2"/>
        <v>7500000</v>
      </c>
      <c r="K20" s="7">
        <f t="shared" si="3"/>
        <v>8250000</v>
      </c>
      <c r="L20" s="7"/>
      <c r="M20" s="7">
        <f t="shared" si="0"/>
        <v>2500000</v>
      </c>
      <c r="N20" s="7">
        <f>('Indirect Cost Budget'!$C$59/11)/10</f>
        <v>85927.072927272704</v>
      </c>
      <c r="O20" s="7">
        <f>('Indirect Cost Budget'!$C$59/11)/11</f>
        <v>78115.52084297518</v>
      </c>
      <c r="P20" s="7">
        <f>('Indirect Cost Budget'!$C$59/11)/11</f>
        <v>78115.52084297518</v>
      </c>
      <c r="Q20" s="7">
        <f>('Indirect Cost Budget'!$C$59/11)/11</f>
        <v>78115.52084297518</v>
      </c>
      <c r="R20" s="7">
        <f>('Indirect Cost Budget'!$C$59/11)/11</f>
        <v>78115.52084297518</v>
      </c>
      <c r="S20" s="7">
        <f>('Indirect Cost Budget'!$C$59/11)/11</f>
        <v>78115.52084297518</v>
      </c>
      <c r="T20" s="7">
        <f>('Indirect Cost Budget'!$C$59/11)/11</f>
        <v>78115.52084297518</v>
      </c>
      <c r="U20" s="7">
        <f>('Indirect Cost Budget'!$C$59/11)/11</f>
        <v>78115.52084297518</v>
      </c>
      <c r="V20" s="7">
        <f>('Indirect Cost Budget'!$C$59/11)/11</f>
        <v>78115.52084297518</v>
      </c>
      <c r="W20" s="7">
        <f>('Indirect Cost Budget'!$C$59/11)/11</f>
        <v>78115.52084297518</v>
      </c>
      <c r="X20" s="7">
        <f>('Indirect Cost Budget'!$C$59/11)/11</f>
        <v>78115.52084297518</v>
      </c>
      <c r="Y20" s="7"/>
      <c r="Z20" s="7">
        <f t="shared" si="4"/>
        <v>867082.2813570248</v>
      </c>
      <c r="AB20" s="5"/>
      <c r="AD20" s="5"/>
    </row>
    <row r="21" spans="2:30">
      <c r="B21" s="1" t="s">
        <v>43</v>
      </c>
      <c r="C21" s="24"/>
      <c r="D21" s="5">
        <v>750000</v>
      </c>
      <c r="E21" s="5">
        <f>D21/12</f>
        <v>62500</v>
      </c>
      <c r="G21" s="7">
        <f t="shared" si="6"/>
        <v>750000</v>
      </c>
      <c r="J21" s="7">
        <f t="shared" si="2"/>
        <v>2250000</v>
      </c>
      <c r="K21" s="7">
        <f t="shared" si="3"/>
        <v>2475000</v>
      </c>
      <c r="L21" s="7"/>
      <c r="M21" s="7">
        <f t="shared" si="0"/>
        <v>750000</v>
      </c>
      <c r="N21" s="7">
        <f>('Indirect Cost Budget'!$C$59/11)/10</f>
        <v>85927.072927272704</v>
      </c>
      <c r="O21" s="7">
        <f>('Indirect Cost Budget'!$C$59/11)/11</f>
        <v>78115.52084297518</v>
      </c>
      <c r="P21" s="7">
        <f>('Indirect Cost Budget'!$C$59/11)/11</f>
        <v>78115.52084297518</v>
      </c>
      <c r="Q21" s="7">
        <f>('Indirect Cost Budget'!$C$59/11)/11</f>
        <v>78115.52084297518</v>
      </c>
      <c r="R21" s="7">
        <f>('Indirect Cost Budget'!$C$59/11)/11</f>
        <v>78115.52084297518</v>
      </c>
      <c r="S21" s="7">
        <f>('Indirect Cost Budget'!$C$59/11)/11</f>
        <v>78115.52084297518</v>
      </c>
      <c r="T21" s="7">
        <f>('Indirect Cost Budget'!$C$59/11)/11</f>
        <v>78115.52084297518</v>
      </c>
      <c r="U21" s="7">
        <f>('Indirect Cost Budget'!$C$59/11)/11</f>
        <v>78115.52084297518</v>
      </c>
      <c r="V21" s="7">
        <f>('Indirect Cost Budget'!$C$59/11)/11</f>
        <v>78115.52084297518</v>
      </c>
      <c r="W21" s="7">
        <f>('Indirect Cost Budget'!$C$59/11)/11</f>
        <v>78115.52084297518</v>
      </c>
      <c r="X21" s="7">
        <f>('Indirect Cost Budget'!$C$59/11)/11</f>
        <v>78115.52084297518</v>
      </c>
      <c r="Y21" s="7"/>
      <c r="Z21" s="7">
        <f t="shared" si="4"/>
        <v>867082.2813570248</v>
      </c>
      <c r="AB21" s="5"/>
      <c r="AD21" s="5"/>
    </row>
    <row r="22" spans="2:30">
      <c r="B22" s="1" t="s">
        <v>44</v>
      </c>
      <c r="C22" s="24"/>
      <c r="D22" s="5">
        <v>180000</v>
      </c>
      <c r="E22" s="5">
        <f>D22/12</f>
        <v>15000</v>
      </c>
      <c r="G22" s="7">
        <f t="shared" si="6"/>
        <v>180000</v>
      </c>
      <c r="J22" s="7">
        <f t="shared" si="2"/>
        <v>540000</v>
      </c>
      <c r="K22" s="7">
        <f t="shared" si="3"/>
        <v>594000</v>
      </c>
      <c r="L22" s="7"/>
      <c r="M22" s="7">
        <f t="shared" si="0"/>
        <v>180000</v>
      </c>
      <c r="N22" s="7">
        <f>('Indirect Cost Budget'!$C$59/11)/10</f>
        <v>85927.072927272704</v>
      </c>
      <c r="O22" s="7">
        <f>('Indirect Cost Budget'!$C$59/11)/11</f>
        <v>78115.52084297518</v>
      </c>
      <c r="P22" s="7">
        <f>('Indirect Cost Budget'!$C$59/11)/11</f>
        <v>78115.52084297518</v>
      </c>
      <c r="Q22" s="7">
        <f>('Indirect Cost Budget'!$C$59/11)/11</f>
        <v>78115.52084297518</v>
      </c>
      <c r="R22" s="7">
        <f>('Indirect Cost Budget'!$C$59/11)/11</f>
        <v>78115.52084297518</v>
      </c>
      <c r="S22" s="7">
        <f>('Indirect Cost Budget'!$C$59/11)/11</f>
        <v>78115.52084297518</v>
      </c>
      <c r="T22" s="7">
        <f>('Indirect Cost Budget'!$C$59/11)/11</f>
        <v>78115.52084297518</v>
      </c>
      <c r="U22" s="7">
        <f>('Indirect Cost Budget'!$C$59/11)/11</f>
        <v>78115.52084297518</v>
      </c>
      <c r="V22" s="7">
        <f>('Indirect Cost Budget'!$C$59/11)/11</f>
        <v>78115.52084297518</v>
      </c>
      <c r="W22" s="7">
        <f>('Indirect Cost Budget'!$C$59/11)/11</f>
        <v>78115.52084297518</v>
      </c>
      <c r="X22" s="7">
        <f>('Indirect Cost Budget'!$C$59/11)/11</f>
        <v>78115.52084297518</v>
      </c>
      <c r="Y22" s="7"/>
      <c r="Z22" s="7">
        <f t="shared" si="4"/>
        <v>867082.2813570248</v>
      </c>
      <c r="AB22" s="5"/>
      <c r="AD22" s="5"/>
    </row>
    <row r="23" spans="2:30">
      <c r="B23" s="1" t="s">
        <v>45</v>
      </c>
      <c r="C23" s="24"/>
      <c r="D23" s="5">
        <f>38000*12</f>
        <v>456000</v>
      </c>
      <c r="E23" s="5">
        <v>38000</v>
      </c>
      <c r="G23" s="7">
        <f t="shared" si="6"/>
        <v>456000</v>
      </c>
      <c r="J23" s="58">
        <f>(G23*3)/11*10</f>
        <v>1243636.3636363638</v>
      </c>
      <c r="K23" s="7">
        <f t="shared" si="3"/>
        <v>1504800</v>
      </c>
      <c r="L23" s="7"/>
      <c r="M23" s="7">
        <f t="shared" si="0"/>
        <v>414545.45454545459</v>
      </c>
      <c r="N23" s="7">
        <v>0</v>
      </c>
      <c r="O23" s="7">
        <f>('Indirect Cost Budget'!$C$59/11)/11</f>
        <v>78115.52084297518</v>
      </c>
      <c r="P23" s="7">
        <f>('Indirect Cost Budget'!$C$59/11)/11</f>
        <v>78115.52084297518</v>
      </c>
      <c r="Q23" s="7">
        <f>('Indirect Cost Budget'!$C$59/11)/11</f>
        <v>78115.52084297518</v>
      </c>
      <c r="R23" s="7">
        <f>('Indirect Cost Budget'!$C$59/11)/11</f>
        <v>78115.52084297518</v>
      </c>
      <c r="S23" s="7">
        <f>('Indirect Cost Budget'!$C$59/11)/11</f>
        <v>78115.52084297518</v>
      </c>
      <c r="T23" s="7">
        <f>('Indirect Cost Budget'!$C$59/11)/11</f>
        <v>78115.52084297518</v>
      </c>
      <c r="U23" s="7">
        <f>('Indirect Cost Budget'!$C$59/11)/11</f>
        <v>78115.52084297518</v>
      </c>
      <c r="V23" s="7">
        <f>('Indirect Cost Budget'!$C$59/11)/11</f>
        <v>78115.52084297518</v>
      </c>
      <c r="W23" s="7">
        <f>('Indirect Cost Budget'!$C$59/11)/11</f>
        <v>78115.52084297518</v>
      </c>
      <c r="X23" s="7">
        <f>('Indirect Cost Budget'!$C$59/11)/11</f>
        <v>78115.52084297518</v>
      </c>
      <c r="Y23" s="7"/>
      <c r="Z23" s="7">
        <f t="shared" si="4"/>
        <v>781155.20842975192</v>
      </c>
      <c r="AB23" s="5"/>
      <c r="AD23" s="5"/>
    </row>
    <row r="24" spans="2:30">
      <c r="B24" s="1" t="s">
        <v>46</v>
      </c>
      <c r="C24" s="24"/>
      <c r="D24" s="5">
        <v>420000</v>
      </c>
      <c r="E24" s="5">
        <v>35000</v>
      </c>
      <c r="G24" s="7">
        <f t="shared" si="6"/>
        <v>420000</v>
      </c>
      <c r="J24" s="58">
        <f>(G24*3)/11*8</f>
        <v>916363.63636363635</v>
      </c>
      <c r="K24" s="7">
        <f t="shared" si="3"/>
        <v>1386000</v>
      </c>
      <c r="L24" s="7"/>
      <c r="M24" s="7">
        <f t="shared" si="0"/>
        <v>305454.54545454547</v>
      </c>
      <c r="N24" s="7"/>
      <c r="O24" s="7"/>
      <c r="P24" s="7"/>
      <c r="Q24" s="7">
        <f>('Indirect Cost Budget'!$C$59/11)/11</f>
        <v>78115.52084297518</v>
      </c>
      <c r="R24" s="7">
        <f>('Indirect Cost Budget'!$C$59/11)/11</f>
        <v>78115.52084297518</v>
      </c>
      <c r="S24" s="7">
        <f>('Indirect Cost Budget'!$C$59/11)/11</f>
        <v>78115.52084297518</v>
      </c>
      <c r="T24" s="7">
        <f>('Indirect Cost Budget'!$C$59/11)/11</f>
        <v>78115.52084297518</v>
      </c>
      <c r="U24" s="7">
        <f>('Indirect Cost Budget'!$C$59/11)/11</f>
        <v>78115.52084297518</v>
      </c>
      <c r="V24" s="7">
        <f>('Indirect Cost Budget'!$C$59/11)/11</f>
        <v>78115.52084297518</v>
      </c>
      <c r="W24" s="7">
        <f>('Indirect Cost Budget'!$C$59/11)/11</f>
        <v>78115.52084297518</v>
      </c>
      <c r="X24" s="7">
        <f>('Indirect Cost Budget'!$C$59/11)/11</f>
        <v>78115.52084297518</v>
      </c>
      <c r="Y24" s="7"/>
      <c r="Z24" s="7">
        <f t="shared" si="4"/>
        <v>624924.16674380144</v>
      </c>
      <c r="AB24" s="5"/>
      <c r="AD24" s="5"/>
    </row>
    <row r="26" spans="2:30" ht="12" thickBot="1">
      <c r="D26" s="9">
        <f>SUM(D11:D25)</f>
        <v>10198000</v>
      </c>
      <c r="E26" s="9">
        <f>SUM(E11:E25)</f>
        <v>849833.33333333337</v>
      </c>
      <c r="G26" s="9">
        <f>SUM(G11:G25)</f>
        <v>9868000</v>
      </c>
      <c r="H26" s="9">
        <f>SUM(H11:H25)</f>
        <v>330000</v>
      </c>
      <c r="J26" s="9">
        <f>SUM(J11:J25)</f>
        <v>29136000</v>
      </c>
      <c r="K26" s="9">
        <f>SUM(K11:K25)</f>
        <v>32564400</v>
      </c>
      <c r="M26" s="9">
        <f>SUM(M11:M25)</f>
        <v>9712000</v>
      </c>
      <c r="N26" s="9">
        <f t="shared" ref="N26:Z26" si="7">SUM(N11:N25)</f>
        <v>859270.72927272692</v>
      </c>
      <c r="O26" s="9">
        <f t="shared" si="7"/>
        <v>859270.72927272716</v>
      </c>
      <c r="P26" s="9">
        <f t="shared" si="7"/>
        <v>859270.72927272716</v>
      </c>
      <c r="Q26" s="9">
        <f t="shared" si="7"/>
        <v>859270.72927272716</v>
      </c>
      <c r="R26" s="9">
        <f t="shared" si="7"/>
        <v>859270.72927272716</v>
      </c>
      <c r="S26" s="9">
        <f t="shared" si="7"/>
        <v>859270.72927272716</v>
      </c>
      <c r="T26" s="9">
        <f t="shared" si="7"/>
        <v>859270.72927272716</v>
      </c>
      <c r="U26" s="9">
        <f t="shared" si="7"/>
        <v>859270.72927272716</v>
      </c>
      <c r="V26" s="9">
        <f t="shared" si="7"/>
        <v>859270.72927272716</v>
      </c>
      <c r="W26" s="9">
        <f t="shared" si="7"/>
        <v>859270.72927272716</v>
      </c>
      <c r="X26" s="9">
        <f t="shared" si="7"/>
        <v>859270.72927272716</v>
      </c>
      <c r="Y26" s="9">
        <f t="shared" si="7"/>
        <v>0</v>
      </c>
      <c r="Z26" s="9">
        <f t="shared" si="7"/>
        <v>9451978.0219999999</v>
      </c>
      <c r="AB26" s="9">
        <f>SUM(AB11:AB16)</f>
        <v>0</v>
      </c>
      <c r="AD26" s="9">
        <f>SUM(AD11:AD15)</f>
        <v>0</v>
      </c>
    </row>
    <row r="27" spans="2:30" ht="12" thickTop="1"/>
    <row r="28" spans="2:30">
      <c r="D28" s="5"/>
      <c r="J28" s="7"/>
    </row>
    <row r="29" spans="2:30">
      <c r="D29" s="5"/>
      <c r="J2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A5B0-FDE1-47E1-B999-1531B0B28BD9}">
  <dimension ref="B2:AD68"/>
  <sheetViews>
    <sheetView topLeftCell="A31" zoomScale="80" zoomScaleNormal="80" workbookViewId="0">
      <selection activeCell="D50" sqref="D50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8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3" width="18" style="1" customWidth="1"/>
    <col min="14" max="14" width="22.7109375" style="1" bestFit="1" customWidth="1"/>
    <col min="15" max="15" width="18" style="1" customWidth="1"/>
    <col min="16" max="16" width="23.7109375" style="1" bestFit="1" customWidth="1"/>
    <col min="17" max="24" width="18" style="1" customWidth="1"/>
    <col min="25" max="25" width="15.5703125" style="1" bestFit="1" customWidth="1"/>
    <col min="26" max="26" width="27.42578125" style="1" bestFit="1" customWidth="1"/>
    <col min="27" max="27" width="13.28515625" style="1" bestFit="1" customWidth="1"/>
    <col min="28" max="28" width="8.85546875" style="1"/>
    <col min="29" max="29" width="10.5703125" style="1" bestFit="1" customWidth="1"/>
    <col min="30" max="16384" width="8.85546875" style="1"/>
  </cols>
  <sheetData>
    <row r="2" spans="2:30" ht="15.75">
      <c r="B2" s="15" t="s">
        <v>369</v>
      </c>
    </row>
    <row r="3" spans="2:30" ht="15.75">
      <c r="B3" s="15"/>
    </row>
    <row r="4" spans="2:30" ht="15.75">
      <c r="B4" s="15" t="s">
        <v>483</v>
      </c>
      <c r="Z4" s="7"/>
      <c r="AA4" s="27"/>
    </row>
    <row r="5" spans="2:30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30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30">
      <c r="B8" s="17" t="s">
        <v>451</v>
      </c>
      <c r="C8" s="14" t="s">
        <v>484</v>
      </c>
      <c r="D8" s="23" t="s">
        <v>485</v>
      </c>
      <c r="E8" s="18">
        <v>958237.5</v>
      </c>
      <c r="F8" s="18">
        <f t="shared" ref="F8:F21" si="0">E8*15/115</f>
        <v>124987.5</v>
      </c>
      <c r="G8" s="29">
        <f t="shared" ref="G8:G50" si="1">E8-F8</f>
        <v>833250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833250</v>
      </c>
      <c r="Z8" s="7"/>
      <c r="AA8" s="5">
        <f>SUM(I8:Z8)</f>
        <v>833250</v>
      </c>
      <c r="AC8" s="7">
        <f t="shared" ref="AC8:AC51" si="2">G8-AA8</f>
        <v>0</v>
      </c>
    </row>
    <row r="9" spans="2:30">
      <c r="B9" s="17" t="s">
        <v>486</v>
      </c>
      <c r="C9" s="14" t="s">
        <v>337</v>
      </c>
      <c r="D9" s="23" t="s">
        <v>487</v>
      </c>
      <c r="E9" s="18">
        <v>1136.2</v>
      </c>
      <c r="F9" s="18">
        <f t="shared" si="0"/>
        <v>148.19999999999999</v>
      </c>
      <c r="G9" s="29">
        <f t="shared" si="1"/>
        <v>988</v>
      </c>
      <c r="H9" s="7">
        <f>+I9/2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988</v>
      </c>
      <c r="Z9" s="7"/>
      <c r="AA9" s="5">
        <f t="shared" ref="AA9:AA51" si="3">SUM(I9:Z9)</f>
        <v>988</v>
      </c>
      <c r="AC9" s="7">
        <f t="shared" si="2"/>
        <v>0</v>
      </c>
    </row>
    <row r="10" spans="2:30">
      <c r="B10" s="17" t="s">
        <v>486</v>
      </c>
      <c r="C10" s="14" t="s">
        <v>337</v>
      </c>
      <c r="D10" s="23" t="s">
        <v>488</v>
      </c>
      <c r="E10" s="18">
        <v>2415</v>
      </c>
      <c r="F10" s="18">
        <f t="shared" si="0"/>
        <v>315</v>
      </c>
      <c r="G10" s="18">
        <f t="shared" si="1"/>
        <v>2100</v>
      </c>
      <c r="H10" s="7">
        <f t="shared" ref="H10:H51" si="4">+I10/2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2100</v>
      </c>
      <c r="Z10" s="7"/>
      <c r="AA10" s="5">
        <f t="shared" si="3"/>
        <v>2100</v>
      </c>
      <c r="AC10" s="7">
        <f t="shared" si="2"/>
        <v>0</v>
      </c>
    </row>
    <row r="11" spans="2:30">
      <c r="B11" s="17" t="s">
        <v>471</v>
      </c>
      <c r="C11" s="14" t="s">
        <v>469</v>
      </c>
      <c r="D11" s="23" t="s">
        <v>489</v>
      </c>
      <c r="E11" s="18">
        <v>333.5</v>
      </c>
      <c r="F11" s="18">
        <f t="shared" si="0"/>
        <v>43.5</v>
      </c>
      <c r="G11" s="18">
        <f t="shared" si="1"/>
        <v>290</v>
      </c>
      <c r="H11" s="7">
        <f t="shared" si="4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290</v>
      </c>
      <c r="Z11" s="7"/>
      <c r="AA11" s="5">
        <f t="shared" si="3"/>
        <v>290</v>
      </c>
      <c r="AC11" s="7">
        <f t="shared" si="2"/>
        <v>0</v>
      </c>
    </row>
    <row r="12" spans="2:30">
      <c r="B12" s="17" t="s">
        <v>490</v>
      </c>
      <c r="C12" s="14" t="s">
        <v>491</v>
      </c>
      <c r="D12" s="23" t="s">
        <v>492</v>
      </c>
      <c r="E12" s="18">
        <v>18400</v>
      </c>
      <c r="F12" s="18">
        <f t="shared" si="0"/>
        <v>2400</v>
      </c>
      <c r="G12" s="18">
        <f t="shared" si="1"/>
        <v>16000</v>
      </c>
      <c r="H12" s="7">
        <f t="shared" si="4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7"/>
      <c r="AA12" s="5">
        <f t="shared" si="3"/>
        <v>0</v>
      </c>
      <c r="AC12" s="7">
        <f t="shared" si="2"/>
        <v>16000</v>
      </c>
      <c r="AD12" s="1" t="s">
        <v>493</v>
      </c>
    </row>
    <row r="13" spans="2:30">
      <c r="B13" s="17" t="s">
        <v>477</v>
      </c>
      <c r="C13" s="14" t="s">
        <v>259</v>
      </c>
      <c r="D13" s="23" t="s">
        <v>494</v>
      </c>
      <c r="E13" s="18">
        <v>27370</v>
      </c>
      <c r="F13" s="18">
        <f t="shared" si="0"/>
        <v>3570</v>
      </c>
      <c r="G13" s="18">
        <f t="shared" si="1"/>
        <v>23800</v>
      </c>
      <c r="H13" s="7">
        <f t="shared" si="4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v>23800</v>
      </c>
      <c r="Z13" s="7"/>
      <c r="AA13" s="5">
        <f t="shared" si="3"/>
        <v>23800</v>
      </c>
      <c r="AC13" s="7">
        <f t="shared" si="2"/>
        <v>0</v>
      </c>
    </row>
    <row r="14" spans="2:30">
      <c r="B14" s="17" t="s">
        <v>477</v>
      </c>
      <c r="C14" s="14" t="s">
        <v>269</v>
      </c>
      <c r="D14" s="23" t="s">
        <v>495</v>
      </c>
      <c r="E14" s="18">
        <v>17530.150000000001</v>
      </c>
      <c r="F14" s="18">
        <f t="shared" si="0"/>
        <v>2286.5413043478261</v>
      </c>
      <c r="G14" s="18">
        <f t="shared" si="1"/>
        <v>15243.608695652176</v>
      </c>
      <c r="H14" s="7">
        <f t="shared" si="4"/>
        <v>0</v>
      </c>
      <c r="I14" s="5"/>
      <c r="J14" s="5">
        <v>10545.92</v>
      </c>
      <c r="K14" s="5"/>
      <c r="L14" s="5"/>
      <c r="M14" s="5"/>
      <c r="N14" s="5">
        <v>4697.6899999999996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7"/>
      <c r="AA14" s="5">
        <f t="shared" si="3"/>
        <v>15243.61</v>
      </c>
      <c r="AC14" s="7">
        <f t="shared" si="2"/>
        <v>-1.3043478247709572E-3</v>
      </c>
    </row>
    <row r="15" spans="2:30">
      <c r="B15" s="17" t="s">
        <v>477</v>
      </c>
      <c r="C15" s="14" t="s">
        <v>496</v>
      </c>
      <c r="D15" s="23" t="s">
        <v>497</v>
      </c>
      <c r="E15" s="18">
        <v>0</v>
      </c>
      <c r="F15" s="18">
        <f t="shared" si="0"/>
        <v>0</v>
      </c>
      <c r="G15" s="18">
        <f t="shared" si="1"/>
        <v>0</v>
      </c>
      <c r="H15" s="7">
        <f t="shared" si="4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  <c r="AA15" s="5">
        <f t="shared" si="3"/>
        <v>0</v>
      </c>
      <c r="AC15" s="7">
        <f t="shared" si="2"/>
        <v>0</v>
      </c>
    </row>
    <row r="16" spans="2:30">
      <c r="B16" s="17" t="s">
        <v>477</v>
      </c>
      <c r="C16" s="14" t="s">
        <v>469</v>
      </c>
      <c r="D16" s="23" t="s">
        <v>498</v>
      </c>
      <c r="E16" s="18">
        <v>11155.4</v>
      </c>
      <c r="F16" s="18">
        <f t="shared" si="0"/>
        <v>1455.0521739130436</v>
      </c>
      <c r="G16" s="18">
        <f t="shared" si="1"/>
        <v>9700.347826086956</v>
      </c>
      <c r="H16" s="7">
        <f t="shared" si="4"/>
        <v>0</v>
      </c>
      <c r="I16" s="5"/>
      <c r="J16" s="5"/>
      <c r="K16" s="5"/>
      <c r="L16" s="5"/>
      <c r="M16" s="5"/>
      <c r="N16" s="5"/>
      <c r="O16" s="5"/>
      <c r="P16" s="5">
        <v>1530</v>
      </c>
      <c r="Q16" s="5">
        <v>4090.35</v>
      </c>
      <c r="R16" s="5"/>
      <c r="S16" s="5">
        <v>4080</v>
      </c>
      <c r="T16" s="5"/>
      <c r="U16" s="5"/>
      <c r="V16" s="5"/>
      <c r="W16" s="5"/>
      <c r="X16" s="5"/>
      <c r="Y16" s="5"/>
      <c r="Z16" s="7"/>
      <c r="AA16" s="5">
        <f t="shared" si="3"/>
        <v>9700.35</v>
      </c>
      <c r="AC16" s="7">
        <f t="shared" si="2"/>
        <v>-2.1739130443165777E-3</v>
      </c>
    </row>
    <row r="17" spans="2:29">
      <c r="B17" s="17" t="s">
        <v>477</v>
      </c>
      <c r="C17" s="14" t="s">
        <v>469</v>
      </c>
      <c r="D17" s="23" t="s">
        <v>499</v>
      </c>
      <c r="E17" s="18">
        <v>733.7</v>
      </c>
      <c r="F17" s="18">
        <f t="shared" si="0"/>
        <v>95.7</v>
      </c>
      <c r="G17" s="18">
        <f t="shared" si="1"/>
        <v>638</v>
      </c>
      <c r="H17" s="7">
        <f t="shared" si="4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255</v>
      </c>
      <c r="T17" s="5"/>
      <c r="U17" s="5"/>
      <c r="V17" s="5"/>
      <c r="W17" s="5"/>
      <c r="X17" s="5"/>
      <c r="Y17" s="5"/>
      <c r="Z17" s="7">
        <v>383</v>
      </c>
      <c r="AA17" s="5">
        <f t="shared" si="3"/>
        <v>638</v>
      </c>
      <c r="AC17" s="7">
        <f t="shared" si="2"/>
        <v>0</v>
      </c>
    </row>
    <row r="18" spans="2:29">
      <c r="B18" s="17" t="s">
        <v>477</v>
      </c>
      <c r="C18" s="14" t="s">
        <v>295</v>
      </c>
      <c r="D18" s="23" t="s">
        <v>500</v>
      </c>
      <c r="E18" s="18">
        <v>201752.19</v>
      </c>
      <c r="F18" s="18">
        <f t="shared" si="0"/>
        <v>26315.50304347826</v>
      </c>
      <c r="G18" s="18">
        <f t="shared" si="1"/>
        <v>175436.68695652173</v>
      </c>
      <c r="H18" s="7">
        <f t="shared" si="4"/>
        <v>28701.014999999999</v>
      </c>
      <c r="I18" s="5">
        <v>57402.03</v>
      </c>
      <c r="J18" s="5"/>
      <c r="K18" s="5"/>
      <c r="L18" s="5">
        <v>18751.02</v>
      </c>
      <c r="M18" s="5"/>
      <c r="N18" s="5">
        <v>3522.11</v>
      </c>
      <c r="O18" s="5">
        <v>11622.92</v>
      </c>
      <c r="P18" s="5"/>
      <c r="Q18" s="5">
        <v>77902.759999999995</v>
      </c>
      <c r="R18" s="5"/>
      <c r="S18" s="5">
        <v>5311.15</v>
      </c>
      <c r="T18" s="5"/>
      <c r="U18" s="5"/>
      <c r="V18" s="5"/>
      <c r="W18" s="5"/>
      <c r="X18" s="5"/>
      <c r="Y18" s="5"/>
      <c r="Z18" s="7">
        <v>924.7</v>
      </c>
      <c r="AA18" s="5">
        <f t="shared" si="3"/>
        <v>175436.69</v>
      </c>
      <c r="AC18" s="7">
        <f t="shared" si="2"/>
        <v>-3.043478267500177E-3</v>
      </c>
    </row>
    <row r="19" spans="2:29">
      <c r="B19" s="17" t="s">
        <v>477</v>
      </c>
      <c r="C19" s="14" t="s">
        <v>496</v>
      </c>
      <c r="D19" s="23" t="s">
        <v>501</v>
      </c>
      <c r="E19" s="18">
        <v>0</v>
      </c>
      <c r="F19" s="18">
        <v>0</v>
      </c>
      <c r="G19" s="18">
        <f t="shared" si="1"/>
        <v>0</v>
      </c>
      <c r="H19" s="7">
        <f t="shared" si="4"/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7"/>
      <c r="AA19" s="5">
        <f t="shared" si="3"/>
        <v>0</v>
      </c>
      <c r="AC19" s="7">
        <f t="shared" si="2"/>
        <v>0</v>
      </c>
    </row>
    <row r="20" spans="2:29">
      <c r="B20" s="17" t="s">
        <v>477</v>
      </c>
      <c r="C20" s="14" t="s">
        <v>295</v>
      </c>
      <c r="D20" s="23" t="s">
        <v>502</v>
      </c>
      <c r="E20" s="18">
        <v>44722.32</v>
      </c>
      <c r="F20" s="18">
        <f t="shared" si="0"/>
        <v>5833.3460869565224</v>
      </c>
      <c r="G20" s="18">
        <f t="shared" si="1"/>
        <v>38888.973913043475</v>
      </c>
      <c r="H20" s="7">
        <f t="shared" si="4"/>
        <v>17767.294999999998</v>
      </c>
      <c r="I20" s="5">
        <v>35534.589999999997</v>
      </c>
      <c r="J20" s="5"/>
      <c r="K20" s="5"/>
      <c r="L20" s="5">
        <v>3354.38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7"/>
      <c r="AA20" s="5">
        <f t="shared" si="3"/>
        <v>38888.969999999994</v>
      </c>
      <c r="AC20" s="7">
        <f t="shared" si="2"/>
        <v>3.9130434815888293E-3</v>
      </c>
    </row>
    <row r="21" spans="2:29">
      <c r="B21" s="17" t="s">
        <v>477</v>
      </c>
      <c r="C21" s="14" t="s">
        <v>295</v>
      </c>
      <c r="D21" s="23" t="s">
        <v>503</v>
      </c>
      <c r="E21" s="18">
        <v>216493.7</v>
      </c>
      <c r="F21" s="18">
        <f t="shared" si="0"/>
        <v>28238.308695652173</v>
      </c>
      <c r="G21" s="18">
        <f t="shared" si="1"/>
        <v>188255.39130434784</v>
      </c>
      <c r="H21" s="7">
        <f t="shared" si="4"/>
        <v>28701.014999999999</v>
      </c>
      <c r="I21" s="5">
        <v>57402.03</v>
      </c>
      <c r="J21" s="5"/>
      <c r="K21" s="5"/>
      <c r="L21" s="5">
        <v>15228.92</v>
      </c>
      <c r="M21" s="5"/>
      <c r="N21" s="5">
        <v>3522.11</v>
      </c>
      <c r="O21" s="5">
        <v>15245.65</v>
      </c>
      <c r="P21" s="5">
        <v>1881.05</v>
      </c>
      <c r="Q21" s="5">
        <v>91569.91</v>
      </c>
      <c r="R21" s="5"/>
      <c r="S21" s="5">
        <v>2544.92</v>
      </c>
      <c r="T21" s="5"/>
      <c r="U21" s="5"/>
      <c r="V21" s="5"/>
      <c r="W21" s="5"/>
      <c r="X21" s="5"/>
      <c r="Y21" s="5"/>
      <c r="Z21" s="7">
        <v>860.8</v>
      </c>
      <c r="AA21" s="5">
        <f t="shared" si="3"/>
        <v>188255.38999999998</v>
      </c>
      <c r="AC21" s="7">
        <f t="shared" si="2"/>
        <v>1.3043478538747877E-3</v>
      </c>
    </row>
    <row r="22" spans="2:29">
      <c r="B22" s="17" t="s">
        <v>477</v>
      </c>
      <c r="C22" s="14" t="s">
        <v>295</v>
      </c>
      <c r="D22" s="23" t="s">
        <v>504</v>
      </c>
      <c r="E22" s="18">
        <v>157357.60999999999</v>
      </c>
      <c r="F22" s="18">
        <f t="shared" ref="F22:F27" si="5">E22*15/115</f>
        <v>20524.905652173911</v>
      </c>
      <c r="G22" s="18">
        <f t="shared" si="1"/>
        <v>136832.70434782607</v>
      </c>
      <c r="H22" s="7">
        <f t="shared" si="4"/>
        <v>28701.014999999999</v>
      </c>
      <c r="I22" s="5">
        <v>57402.03</v>
      </c>
      <c r="J22" s="5"/>
      <c r="K22" s="5"/>
      <c r="L22" s="5">
        <v>16235.23</v>
      </c>
      <c r="M22" s="5"/>
      <c r="N22" s="5">
        <v>10884.98</v>
      </c>
      <c r="O22" s="5">
        <v>3505.32</v>
      </c>
      <c r="P22" s="5">
        <v>719.22</v>
      </c>
      <c r="Q22" s="5">
        <v>36901.31</v>
      </c>
      <c r="R22" s="5"/>
      <c r="S22" s="5">
        <v>9737.11</v>
      </c>
      <c r="T22" s="5"/>
      <c r="U22" s="5"/>
      <c r="V22" s="5"/>
      <c r="W22" s="5"/>
      <c r="X22" s="5"/>
      <c r="Y22" s="5"/>
      <c r="Z22" s="7">
        <v>1447.5</v>
      </c>
      <c r="AA22" s="5">
        <f t="shared" si="3"/>
        <v>136832.70000000001</v>
      </c>
      <c r="AC22" s="7">
        <f t="shared" si="2"/>
        <v>4.3478260631673038E-3</v>
      </c>
    </row>
    <row r="23" spans="2:29">
      <c r="B23" s="17" t="s">
        <v>477</v>
      </c>
      <c r="C23" s="14" t="s">
        <v>295</v>
      </c>
      <c r="D23" s="23" t="s">
        <v>505</v>
      </c>
      <c r="E23" s="18">
        <v>174979.96</v>
      </c>
      <c r="F23" s="18">
        <f t="shared" si="5"/>
        <v>22823.473043478261</v>
      </c>
      <c r="G23" s="18">
        <f t="shared" si="1"/>
        <v>152156.48695652172</v>
      </c>
      <c r="H23" s="7">
        <f t="shared" si="4"/>
        <v>28701.01</v>
      </c>
      <c r="I23" s="5">
        <v>57402.02</v>
      </c>
      <c r="J23" s="5"/>
      <c r="K23" s="5"/>
      <c r="L23" s="5">
        <v>16235.23</v>
      </c>
      <c r="M23" s="5"/>
      <c r="N23" s="5">
        <v>34298.550000000003</v>
      </c>
      <c r="O23" s="5">
        <v>3505.32</v>
      </c>
      <c r="P23" s="5">
        <v>1161.82</v>
      </c>
      <c r="Q23" s="5">
        <v>36901.31</v>
      </c>
      <c r="R23" s="5"/>
      <c r="S23" s="5">
        <v>1438.43</v>
      </c>
      <c r="T23" s="5"/>
      <c r="U23" s="5"/>
      <c r="V23" s="5"/>
      <c r="W23" s="5"/>
      <c r="X23" s="5"/>
      <c r="Y23" s="5"/>
      <c r="Z23" s="7">
        <v>1213.8</v>
      </c>
      <c r="AA23" s="5">
        <f t="shared" si="3"/>
        <v>152156.47999999998</v>
      </c>
      <c r="AC23" s="7">
        <f t="shared" si="2"/>
        <v>6.9565217418130487E-3</v>
      </c>
    </row>
    <row r="24" spans="2:29">
      <c r="B24" s="17" t="s">
        <v>477</v>
      </c>
      <c r="C24" s="14" t="s">
        <v>295</v>
      </c>
      <c r="D24" s="23" t="s">
        <v>506</v>
      </c>
      <c r="E24" s="18">
        <v>224711.09</v>
      </c>
      <c r="F24" s="29">
        <f t="shared" si="5"/>
        <v>29310.142173913046</v>
      </c>
      <c r="G24" s="29">
        <f t="shared" si="1"/>
        <v>195400.94782608695</v>
      </c>
      <c r="H24" s="7">
        <f t="shared" si="4"/>
        <v>28701.014999999999</v>
      </c>
      <c r="I24" s="5">
        <v>57402.03</v>
      </c>
      <c r="J24" s="5"/>
      <c r="K24" s="5"/>
      <c r="L24" s="5">
        <v>16235.23</v>
      </c>
      <c r="M24" s="5"/>
      <c r="N24" s="5">
        <v>8604</v>
      </c>
      <c r="O24" s="5">
        <v>16922.84</v>
      </c>
      <c r="P24" s="5">
        <v>1881.05</v>
      </c>
      <c r="Q24" s="5">
        <v>91569.91</v>
      </c>
      <c r="R24" s="5"/>
      <c r="S24" s="5">
        <v>1438.43</v>
      </c>
      <c r="T24" s="5"/>
      <c r="U24" s="5"/>
      <c r="V24" s="5"/>
      <c r="W24" s="5"/>
      <c r="X24" s="5"/>
      <c r="Y24" s="5"/>
      <c r="Z24" s="7">
        <v>1347.46</v>
      </c>
      <c r="AA24" s="5">
        <f t="shared" si="3"/>
        <v>195400.94999999998</v>
      </c>
      <c r="AC24" s="7">
        <f t="shared" si="2"/>
        <v>-2.1739130315836519E-3</v>
      </c>
    </row>
    <row r="25" spans="2:29">
      <c r="B25" s="17" t="s">
        <v>477</v>
      </c>
      <c r="C25" s="14" t="s">
        <v>484</v>
      </c>
      <c r="D25" s="23" t="s">
        <v>507</v>
      </c>
      <c r="E25" s="18">
        <v>1021811.54</v>
      </c>
      <c r="F25" s="18">
        <f t="shared" si="5"/>
        <v>133279.76608695654</v>
      </c>
      <c r="G25" s="18">
        <f t="shared" si="1"/>
        <v>888531.77391304355</v>
      </c>
      <c r="H25" s="7">
        <f t="shared" si="4"/>
        <v>163184.17499999999</v>
      </c>
      <c r="I25" s="5">
        <v>326368.34999999998</v>
      </c>
      <c r="J25" s="5">
        <v>102506.18</v>
      </c>
      <c r="K25" s="5">
        <v>138238.53</v>
      </c>
      <c r="L25" s="5"/>
      <c r="M25" s="5">
        <v>148886.13</v>
      </c>
      <c r="N25" s="5">
        <v>95592.92</v>
      </c>
      <c r="O25" s="5"/>
      <c r="P25" s="5">
        <v>76070.66</v>
      </c>
      <c r="Q25" s="5"/>
      <c r="R25" s="5"/>
      <c r="S25" s="5"/>
      <c r="T25" s="5"/>
      <c r="U25" s="5"/>
      <c r="V25" s="5"/>
      <c r="W25" s="5"/>
      <c r="X25" s="5"/>
      <c r="Y25" s="5"/>
      <c r="Z25" s="7">
        <v>869</v>
      </c>
      <c r="AA25" s="5">
        <f t="shared" si="3"/>
        <v>888531.77</v>
      </c>
      <c r="AC25" s="7">
        <f t="shared" si="2"/>
        <v>3.9130435325205326E-3</v>
      </c>
    </row>
    <row r="26" spans="2:29">
      <c r="B26" s="17" t="s">
        <v>477</v>
      </c>
      <c r="C26" s="14" t="s">
        <v>235</v>
      </c>
      <c r="D26" s="23" t="s">
        <v>508</v>
      </c>
      <c r="E26" s="18">
        <v>17262.419999999998</v>
      </c>
      <c r="F26" s="18">
        <f t="shared" si="5"/>
        <v>2251.62</v>
      </c>
      <c r="G26" s="18">
        <f t="shared" si="1"/>
        <v>15010.8</v>
      </c>
      <c r="H26" s="7">
        <f t="shared" si="4"/>
        <v>0</v>
      </c>
      <c r="I26" s="5"/>
      <c r="J26" s="5"/>
      <c r="K26" s="5"/>
      <c r="L26" s="5">
        <v>6098.4</v>
      </c>
      <c r="M26" s="5">
        <v>3130.2</v>
      </c>
      <c r="N26" s="5">
        <v>5662.8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7">
        <v>119.4</v>
      </c>
      <c r="AA26" s="5">
        <f t="shared" si="3"/>
        <v>15010.799999999997</v>
      </c>
      <c r="AC26" s="7">
        <f t="shared" si="2"/>
        <v>0</v>
      </c>
    </row>
    <row r="27" spans="2:29">
      <c r="B27" s="17" t="s">
        <v>477</v>
      </c>
      <c r="C27" s="14" t="s">
        <v>496</v>
      </c>
      <c r="D27" s="23" t="s">
        <v>509</v>
      </c>
      <c r="E27" s="18">
        <v>0</v>
      </c>
      <c r="F27" s="18">
        <f t="shared" si="5"/>
        <v>0</v>
      </c>
      <c r="G27" s="18">
        <f t="shared" si="1"/>
        <v>0</v>
      </c>
      <c r="H27" s="7">
        <f t="shared" si="4"/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7"/>
      <c r="AA27" s="5">
        <f t="shared" si="3"/>
        <v>0</v>
      </c>
      <c r="AC27" s="7">
        <f t="shared" si="2"/>
        <v>0</v>
      </c>
    </row>
    <row r="28" spans="2:29">
      <c r="B28" s="17" t="s">
        <v>477</v>
      </c>
      <c r="C28" s="14" t="s">
        <v>510</v>
      </c>
      <c r="D28" s="23" t="s">
        <v>511</v>
      </c>
      <c r="E28" s="18">
        <v>50887.5</v>
      </c>
      <c r="F28" s="18">
        <f t="shared" ref="F28:F49" si="6">E28*15/115</f>
        <v>6637.5</v>
      </c>
      <c r="G28" s="18">
        <f t="shared" si="1"/>
        <v>44250</v>
      </c>
      <c r="H28" s="7">
        <f t="shared" si="4"/>
        <v>8250</v>
      </c>
      <c r="I28" s="5">
        <v>16500</v>
      </c>
      <c r="J28" s="5">
        <v>27750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7"/>
      <c r="AA28" s="5">
        <f t="shared" si="3"/>
        <v>44250</v>
      </c>
      <c r="AC28" s="7">
        <f t="shared" si="2"/>
        <v>0</v>
      </c>
    </row>
    <row r="29" spans="2:29">
      <c r="B29" s="17" t="s">
        <v>477</v>
      </c>
      <c r="C29" s="14" t="s">
        <v>496</v>
      </c>
      <c r="D29" s="23" t="s">
        <v>512</v>
      </c>
      <c r="E29" s="18">
        <v>0</v>
      </c>
      <c r="F29" s="18">
        <f t="shared" si="6"/>
        <v>0</v>
      </c>
      <c r="G29" s="18">
        <f t="shared" si="1"/>
        <v>0</v>
      </c>
      <c r="H29" s="7">
        <f t="shared" si="4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7"/>
      <c r="AA29" s="5">
        <f t="shared" si="3"/>
        <v>0</v>
      </c>
      <c r="AC29" s="7">
        <f t="shared" si="2"/>
        <v>0</v>
      </c>
    </row>
    <row r="30" spans="2:29">
      <c r="B30" s="17" t="s">
        <v>477</v>
      </c>
      <c r="C30" s="14" t="s">
        <v>295</v>
      </c>
      <c r="D30" s="23" t="s">
        <v>513</v>
      </c>
      <c r="E30" s="18">
        <v>117179.63</v>
      </c>
      <c r="F30" s="18">
        <f t="shared" si="6"/>
        <v>15284.299565217392</v>
      </c>
      <c r="G30" s="18">
        <f t="shared" si="1"/>
        <v>101895.33043478261</v>
      </c>
      <c r="H30" s="7">
        <f t="shared" si="4"/>
        <v>36901.305</v>
      </c>
      <c r="I30" s="5">
        <v>73802.61</v>
      </c>
      <c r="J30" s="5"/>
      <c r="K30" s="5">
        <v>27539.47</v>
      </c>
      <c r="L30" s="5"/>
      <c r="M30" s="5"/>
      <c r="N30" s="5"/>
      <c r="O30" s="5"/>
      <c r="P30" s="5"/>
      <c r="Q30" s="5"/>
      <c r="R30" s="5"/>
      <c r="S30" s="5">
        <v>553.25</v>
      </c>
      <c r="T30" s="5"/>
      <c r="U30" s="5"/>
      <c r="V30" s="5"/>
      <c r="W30" s="5"/>
      <c r="X30" s="5"/>
      <c r="Y30" s="5"/>
      <c r="Z30" s="7"/>
      <c r="AA30" s="5">
        <f t="shared" si="3"/>
        <v>101895.33</v>
      </c>
      <c r="AC30" s="7">
        <f t="shared" si="2"/>
        <v>4.3478260340634733E-4</v>
      </c>
    </row>
    <row r="31" spans="2:29">
      <c r="B31" s="17" t="s">
        <v>477</v>
      </c>
      <c r="C31" s="14" t="s">
        <v>235</v>
      </c>
      <c r="D31" s="23" t="s">
        <v>514</v>
      </c>
      <c r="E31" s="18">
        <v>8720.91</v>
      </c>
      <c r="F31" s="18">
        <f t="shared" si="6"/>
        <v>1137.51</v>
      </c>
      <c r="G31" s="18">
        <f t="shared" si="1"/>
        <v>7583.4</v>
      </c>
      <c r="H31" s="7">
        <f t="shared" si="4"/>
        <v>0</v>
      </c>
      <c r="I31" s="5"/>
      <c r="J31" s="5"/>
      <c r="K31" s="5"/>
      <c r="L31" s="5">
        <v>2970</v>
      </c>
      <c r="M31" s="5"/>
      <c r="N31" s="5">
        <v>4613.3999999999996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7"/>
      <c r="AA31" s="5">
        <f t="shared" si="3"/>
        <v>7583.4</v>
      </c>
      <c r="AC31" s="7">
        <f t="shared" si="2"/>
        <v>0</v>
      </c>
    </row>
    <row r="32" spans="2:29">
      <c r="B32" s="17" t="s">
        <v>477</v>
      </c>
      <c r="C32" s="14" t="s">
        <v>210</v>
      </c>
      <c r="D32" s="23" t="s">
        <v>515</v>
      </c>
      <c r="E32" s="18">
        <v>53301.19</v>
      </c>
      <c r="F32" s="18">
        <f t="shared" si="6"/>
        <v>6952.3291304347831</v>
      </c>
      <c r="G32" s="18">
        <f t="shared" si="1"/>
        <v>46348.860869565222</v>
      </c>
      <c r="H32" s="7">
        <f t="shared" si="4"/>
        <v>0</v>
      </c>
      <c r="I32" s="5"/>
      <c r="J32" s="5">
        <v>29950.04</v>
      </c>
      <c r="K32" s="5"/>
      <c r="L32" s="5"/>
      <c r="M32" s="5"/>
      <c r="N32" s="5">
        <v>7996.37</v>
      </c>
      <c r="O32" s="5"/>
      <c r="P32" s="5"/>
      <c r="Q32" s="5">
        <v>8402.4500000000007</v>
      </c>
      <c r="R32" s="5"/>
      <c r="S32" s="5"/>
      <c r="T32" s="5"/>
      <c r="U32" s="5"/>
      <c r="V32" s="5"/>
      <c r="W32" s="5"/>
      <c r="X32" s="5"/>
      <c r="Y32" s="5"/>
      <c r="Z32" s="7"/>
      <c r="AA32" s="5">
        <f t="shared" si="3"/>
        <v>46348.86</v>
      </c>
      <c r="AC32" s="7">
        <f t="shared" si="2"/>
        <v>8.695652213646099E-4</v>
      </c>
    </row>
    <row r="33" spans="2:29">
      <c r="B33" s="17" t="s">
        <v>477</v>
      </c>
      <c r="C33" s="14" t="s">
        <v>205</v>
      </c>
      <c r="D33" s="23" t="s">
        <v>516</v>
      </c>
      <c r="E33" s="18">
        <v>214095.73</v>
      </c>
      <c r="F33" s="18">
        <f t="shared" si="6"/>
        <v>27925.530000000002</v>
      </c>
      <c r="G33" s="18">
        <f t="shared" si="1"/>
        <v>186170.2</v>
      </c>
      <c r="H33" s="7">
        <f t="shared" si="4"/>
        <v>0</v>
      </c>
      <c r="I33" s="5"/>
      <c r="J33" s="5"/>
      <c r="K33" s="5"/>
      <c r="L33" s="5"/>
      <c r="M33" s="5">
        <v>100345</v>
      </c>
      <c r="N33" s="5"/>
      <c r="O33" s="5"/>
      <c r="P33" s="5"/>
      <c r="Q33" s="5"/>
      <c r="R33" s="5">
        <v>83220</v>
      </c>
      <c r="S33" s="5">
        <v>2600</v>
      </c>
      <c r="T33" s="5"/>
      <c r="U33" s="5"/>
      <c r="V33" s="5"/>
      <c r="W33" s="5"/>
      <c r="X33" s="5"/>
      <c r="Y33" s="5"/>
      <c r="Z33" s="7">
        <v>5.2</v>
      </c>
      <c r="AA33" s="5">
        <f t="shared" si="3"/>
        <v>186170.2</v>
      </c>
      <c r="AC33" s="7">
        <f t="shared" si="2"/>
        <v>0</v>
      </c>
    </row>
    <row r="34" spans="2:29">
      <c r="B34" s="17" t="s">
        <v>477</v>
      </c>
      <c r="C34" s="14" t="s">
        <v>496</v>
      </c>
      <c r="D34" s="23" t="s">
        <v>517</v>
      </c>
      <c r="E34" s="18">
        <v>0</v>
      </c>
      <c r="F34" s="18">
        <f t="shared" si="6"/>
        <v>0</v>
      </c>
      <c r="G34" s="18">
        <f t="shared" si="1"/>
        <v>0</v>
      </c>
      <c r="H34" s="7">
        <f t="shared" si="4"/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7"/>
      <c r="AA34" s="5">
        <f t="shared" si="3"/>
        <v>0</v>
      </c>
      <c r="AC34" s="7">
        <f t="shared" si="2"/>
        <v>0</v>
      </c>
    </row>
    <row r="35" spans="2:29">
      <c r="B35" s="17" t="s">
        <v>477</v>
      </c>
      <c r="C35" s="14" t="s">
        <v>341</v>
      </c>
      <c r="D35" s="23" t="s">
        <v>518</v>
      </c>
      <c r="E35" s="18">
        <v>5175</v>
      </c>
      <c r="F35" s="18">
        <f t="shared" si="6"/>
        <v>675</v>
      </c>
      <c r="G35" s="18">
        <f t="shared" si="1"/>
        <v>4500</v>
      </c>
      <c r="H35" s="7">
        <f t="shared" si="4"/>
        <v>0</v>
      </c>
      <c r="I35" s="5"/>
      <c r="J35" s="5"/>
      <c r="K35" s="5"/>
      <c r="L35" s="5"/>
      <c r="M35" s="5"/>
      <c r="N35" s="5"/>
      <c r="O35" s="5"/>
      <c r="P35" s="5"/>
      <c r="Q35" s="5">
        <v>4500</v>
      </c>
      <c r="R35" s="5"/>
      <c r="S35" s="5"/>
      <c r="T35" s="5"/>
      <c r="U35" s="5"/>
      <c r="V35" s="5"/>
      <c r="W35" s="5"/>
      <c r="X35" s="5"/>
      <c r="Y35" s="5"/>
      <c r="Z35" s="7"/>
      <c r="AA35" s="5">
        <f t="shared" si="3"/>
        <v>4500</v>
      </c>
      <c r="AC35" s="7">
        <f t="shared" si="2"/>
        <v>0</v>
      </c>
    </row>
    <row r="36" spans="2:29">
      <c r="B36" s="17" t="s">
        <v>477</v>
      </c>
      <c r="C36" s="14" t="s">
        <v>362</v>
      </c>
      <c r="D36" s="23" t="s">
        <v>519</v>
      </c>
      <c r="E36" s="18">
        <v>20125</v>
      </c>
      <c r="F36" s="18">
        <f t="shared" si="6"/>
        <v>2625</v>
      </c>
      <c r="G36" s="18">
        <f t="shared" si="1"/>
        <v>17500</v>
      </c>
      <c r="H36" s="7">
        <f t="shared" si="4"/>
        <v>5500</v>
      </c>
      <c r="I36" s="5">
        <v>11000</v>
      </c>
      <c r="J36" s="5"/>
      <c r="K36" s="5"/>
      <c r="L36" s="5">
        <v>6500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7"/>
      <c r="AA36" s="5">
        <f t="shared" si="3"/>
        <v>17500</v>
      </c>
      <c r="AC36" s="7">
        <f t="shared" si="2"/>
        <v>0</v>
      </c>
    </row>
    <row r="37" spans="2:29">
      <c r="B37" s="17" t="s">
        <v>477</v>
      </c>
      <c r="C37" s="14" t="s">
        <v>337</v>
      </c>
      <c r="D37" s="23" t="s">
        <v>520</v>
      </c>
      <c r="E37" s="18">
        <v>25288.5</v>
      </c>
      <c r="F37" s="18">
        <f t="shared" si="6"/>
        <v>3298.5</v>
      </c>
      <c r="G37" s="18">
        <f t="shared" si="1"/>
        <v>21990</v>
      </c>
      <c r="H37" s="7">
        <f t="shared" si="4"/>
        <v>825</v>
      </c>
      <c r="I37" s="5">
        <v>1650</v>
      </c>
      <c r="J37" s="5"/>
      <c r="K37" s="5"/>
      <c r="L37" s="5">
        <v>12340</v>
      </c>
      <c r="M37" s="5"/>
      <c r="N37" s="5"/>
      <c r="O37" s="5">
        <v>8000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7"/>
      <c r="AA37" s="5">
        <f t="shared" si="3"/>
        <v>21990</v>
      </c>
      <c r="AC37" s="7">
        <f t="shared" si="2"/>
        <v>0</v>
      </c>
    </row>
    <row r="38" spans="2:29">
      <c r="B38" s="17" t="s">
        <v>477</v>
      </c>
      <c r="C38" s="14" t="s">
        <v>484</v>
      </c>
      <c r="D38" s="23" t="s">
        <v>521</v>
      </c>
      <c r="E38" s="18">
        <v>50043.519999999997</v>
      </c>
      <c r="F38" s="18">
        <f t="shared" si="6"/>
        <v>6527.4156521739123</v>
      </c>
      <c r="G38" s="18">
        <f t="shared" si="1"/>
        <v>43516.104347826084</v>
      </c>
      <c r="H38" s="7">
        <f t="shared" si="4"/>
        <v>11400</v>
      </c>
      <c r="I38" s="5">
        <v>22800</v>
      </c>
      <c r="J38" s="5"/>
      <c r="K38" s="5"/>
      <c r="L38" s="5">
        <v>14950</v>
      </c>
      <c r="M38" s="5"/>
      <c r="N38" s="5"/>
      <c r="O38" s="5">
        <v>850</v>
      </c>
      <c r="P38" s="5"/>
      <c r="Q38" s="5"/>
      <c r="R38" s="5"/>
      <c r="S38" s="5">
        <v>4830</v>
      </c>
      <c r="T38" s="5"/>
      <c r="U38" s="5"/>
      <c r="V38" s="5"/>
      <c r="W38" s="5"/>
      <c r="X38" s="5"/>
      <c r="Y38" s="5"/>
      <c r="Z38" s="7">
        <v>86.1</v>
      </c>
      <c r="AA38" s="5">
        <f t="shared" si="3"/>
        <v>43516.1</v>
      </c>
      <c r="AC38" s="7">
        <f t="shared" si="2"/>
        <v>4.3478260849951766E-3</v>
      </c>
    </row>
    <row r="39" spans="2:29">
      <c r="B39" s="17" t="s">
        <v>477</v>
      </c>
      <c r="C39" s="14" t="s">
        <v>259</v>
      </c>
      <c r="D39" s="23" t="s">
        <v>522</v>
      </c>
      <c r="E39" s="18">
        <v>148005</v>
      </c>
      <c r="F39" s="18">
        <f t="shared" si="6"/>
        <v>19305</v>
      </c>
      <c r="G39" s="18">
        <f t="shared" si="1"/>
        <v>128700</v>
      </c>
      <c r="H39" s="7">
        <f t="shared" si="4"/>
        <v>52500</v>
      </c>
      <c r="I39" s="5">
        <v>105000</v>
      </c>
      <c r="J39" s="5"/>
      <c r="K39" s="5"/>
      <c r="L39" s="5">
        <v>18900</v>
      </c>
      <c r="M39" s="5"/>
      <c r="N39" s="5"/>
      <c r="O39" s="5">
        <v>4800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7"/>
      <c r="AA39" s="5">
        <f t="shared" si="3"/>
        <v>128700</v>
      </c>
      <c r="AC39" s="7">
        <f t="shared" si="2"/>
        <v>0</v>
      </c>
    </row>
    <row r="40" spans="2:29">
      <c r="B40" s="17" t="s">
        <v>477</v>
      </c>
      <c r="C40" s="14" t="s">
        <v>436</v>
      </c>
      <c r="D40" s="23" t="s">
        <v>523</v>
      </c>
      <c r="E40" s="18">
        <v>317555.25</v>
      </c>
      <c r="F40" s="18">
        <f t="shared" si="6"/>
        <v>41420.25</v>
      </c>
      <c r="G40" s="18">
        <f t="shared" si="1"/>
        <v>276135</v>
      </c>
      <c r="H40" s="7">
        <f t="shared" si="4"/>
        <v>85250</v>
      </c>
      <c r="I40" s="5">
        <v>170500</v>
      </c>
      <c r="J40" s="5">
        <v>52010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53625</v>
      </c>
      <c r="V40" s="5"/>
      <c r="W40" s="5"/>
      <c r="X40" s="5"/>
      <c r="Y40" s="5"/>
      <c r="Z40" s="7"/>
      <c r="AA40" s="5">
        <f t="shared" si="3"/>
        <v>276135</v>
      </c>
      <c r="AC40" s="7">
        <f t="shared" si="2"/>
        <v>0</v>
      </c>
    </row>
    <row r="41" spans="2:29">
      <c r="B41" s="17" t="s">
        <v>477</v>
      </c>
      <c r="C41" s="14" t="s">
        <v>220</v>
      </c>
      <c r="D41" s="23" t="s">
        <v>524</v>
      </c>
      <c r="E41" s="18">
        <v>94494.35</v>
      </c>
      <c r="F41" s="18">
        <f t="shared" si="6"/>
        <v>12325.35</v>
      </c>
      <c r="G41" s="18">
        <f t="shared" si="1"/>
        <v>82169</v>
      </c>
      <c r="H41" s="7">
        <f t="shared" si="4"/>
        <v>15000</v>
      </c>
      <c r="I41" s="5">
        <v>30000</v>
      </c>
      <c r="J41" s="5"/>
      <c r="K41" s="5"/>
      <c r="L41" s="5"/>
      <c r="M41" s="5"/>
      <c r="N41" s="5"/>
      <c r="O41" s="5"/>
      <c r="P41" s="5">
        <v>5400</v>
      </c>
      <c r="Q41" s="5"/>
      <c r="R41" s="5"/>
      <c r="S41" s="5"/>
      <c r="T41" s="5">
        <v>42769</v>
      </c>
      <c r="U41" s="5"/>
      <c r="V41" s="5"/>
      <c r="W41" s="5">
        <v>4000</v>
      </c>
      <c r="X41" s="5"/>
      <c r="Y41" s="5"/>
      <c r="Z41" s="7"/>
      <c r="AA41" s="5">
        <f t="shared" si="3"/>
        <v>82169</v>
      </c>
      <c r="AC41" s="7">
        <f t="shared" si="2"/>
        <v>0</v>
      </c>
    </row>
    <row r="42" spans="2:29">
      <c r="B42" s="17" t="s">
        <v>477</v>
      </c>
      <c r="C42" s="14" t="s">
        <v>295</v>
      </c>
      <c r="D42" s="23" t="s">
        <v>525</v>
      </c>
      <c r="E42" s="18">
        <v>647308.43999999994</v>
      </c>
      <c r="F42" s="18">
        <f t="shared" si="6"/>
        <v>84431.535652173916</v>
      </c>
      <c r="G42" s="18">
        <f t="shared" si="1"/>
        <v>562876.90434782603</v>
      </c>
      <c r="H42" s="7">
        <f t="shared" si="4"/>
        <v>100000</v>
      </c>
      <c r="I42" s="5">
        <v>200000</v>
      </c>
      <c r="J42" s="5"/>
      <c r="K42" s="5"/>
      <c r="L42" s="5">
        <v>180000</v>
      </c>
      <c r="M42" s="5"/>
      <c r="N42" s="5"/>
      <c r="O42" s="5">
        <v>160402</v>
      </c>
      <c r="P42" s="5">
        <v>19000</v>
      </c>
      <c r="Q42" s="5"/>
      <c r="R42" s="5"/>
      <c r="S42" s="5"/>
      <c r="T42" s="5"/>
      <c r="U42" s="5"/>
      <c r="V42" s="5"/>
      <c r="W42" s="5"/>
      <c r="X42" s="5"/>
      <c r="Y42" s="5"/>
      <c r="Z42" s="7">
        <v>3474.9</v>
      </c>
      <c r="AA42" s="5">
        <f t="shared" si="3"/>
        <v>562876.9</v>
      </c>
      <c r="AC42" s="7">
        <f t="shared" si="2"/>
        <v>4.3478260049596429E-3</v>
      </c>
    </row>
    <row r="43" spans="2:29">
      <c r="B43" s="17" t="s">
        <v>477</v>
      </c>
      <c r="C43" s="14" t="s">
        <v>220</v>
      </c>
      <c r="D43" s="23" t="s">
        <v>526</v>
      </c>
      <c r="E43" s="18">
        <v>90792.5</v>
      </c>
      <c r="F43" s="18">
        <f t="shared" si="6"/>
        <v>11842.5</v>
      </c>
      <c r="G43" s="18">
        <f t="shared" si="1"/>
        <v>78950</v>
      </c>
      <c r="H43" s="7">
        <f t="shared" si="4"/>
        <v>20000</v>
      </c>
      <c r="I43" s="5">
        <v>40000</v>
      </c>
      <c r="J43" s="5"/>
      <c r="K43" s="5">
        <v>29450</v>
      </c>
      <c r="L43" s="5"/>
      <c r="M43" s="5"/>
      <c r="N43" s="5"/>
      <c r="O43" s="5"/>
      <c r="P43" s="5">
        <v>3600</v>
      </c>
      <c r="Q43" s="5"/>
      <c r="R43" s="5"/>
      <c r="S43" s="5"/>
      <c r="T43" s="5">
        <v>1900</v>
      </c>
      <c r="U43" s="5"/>
      <c r="V43" s="5"/>
      <c r="W43" s="5">
        <v>4000</v>
      </c>
      <c r="X43" s="5"/>
      <c r="Y43" s="5"/>
      <c r="Z43" s="7"/>
      <c r="AA43" s="5">
        <f t="shared" si="3"/>
        <v>78950</v>
      </c>
      <c r="AC43" s="7">
        <f t="shared" si="2"/>
        <v>0</v>
      </c>
    </row>
    <row r="44" spans="2:29">
      <c r="B44" s="17" t="s">
        <v>477</v>
      </c>
      <c r="C44" s="14" t="s">
        <v>527</v>
      </c>
      <c r="D44" s="23" t="s">
        <v>528</v>
      </c>
      <c r="E44" s="18"/>
      <c r="F44" s="18">
        <f t="shared" si="6"/>
        <v>0</v>
      </c>
      <c r="G44" s="18">
        <f t="shared" si="1"/>
        <v>0</v>
      </c>
      <c r="H44" s="7">
        <f t="shared" si="4"/>
        <v>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7"/>
      <c r="AA44" s="5">
        <f t="shared" si="3"/>
        <v>0</v>
      </c>
      <c r="AC44" s="7">
        <f t="shared" si="2"/>
        <v>0</v>
      </c>
    </row>
    <row r="45" spans="2:29">
      <c r="B45" s="17" t="s">
        <v>477</v>
      </c>
      <c r="C45" s="14" t="s">
        <v>529</v>
      </c>
      <c r="D45" s="23" t="s">
        <v>530</v>
      </c>
      <c r="E45" s="18">
        <v>94167.75</v>
      </c>
      <c r="F45" s="18">
        <f t="shared" si="6"/>
        <v>12282.75</v>
      </c>
      <c r="G45" s="18">
        <f t="shared" si="1"/>
        <v>81885</v>
      </c>
      <c r="H45" s="7">
        <f t="shared" si="4"/>
        <v>7492.5</v>
      </c>
      <c r="I45" s="5">
        <v>14985</v>
      </c>
      <c r="J45" s="5">
        <v>10260</v>
      </c>
      <c r="K45" s="5">
        <v>630</v>
      </c>
      <c r="L45" s="5"/>
      <c r="M45" s="5"/>
      <c r="N45" s="5"/>
      <c r="O45" s="5"/>
      <c r="P45" s="5"/>
      <c r="Q45" s="5"/>
      <c r="R45" s="5">
        <v>56010</v>
      </c>
      <c r="S45" s="5"/>
      <c r="T45" s="5"/>
      <c r="U45" s="5"/>
      <c r="V45" s="5"/>
      <c r="W45" s="5"/>
      <c r="X45" s="5"/>
      <c r="Y45" s="5"/>
      <c r="Z45" s="7"/>
      <c r="AA45" s="5">
        <f t="shared" si="3"/>
        <v>81885</v>
      </c>
      <c r="AC45" s="7">
        <f t="shared" si="2"/>
        <v>0</v>
      </c>
    </row>
    <row r="46" spans="2:29">
      <c r="B46" s="17" t="s">
        <v>477</v>
      </c>
      <c r="C46" s="14" t="s">
        <v>259</v>
      </c>
      <c r="D46" s="23" t="s">
        <v>531</v>
      </c>
      <c r="E46" s="18">
        <v>7754.11</v>
      </c>
      <c r="F46" s="18">
        <f t="shared" si="6"/>
        <v>1011.405652173913</v>
      </c>
      <c r="G46" s="18">
        <f t="shared" si="1"/>
        <v>6742.7043478260866</v>
      </c>
      <c r="H46" s="7">
        <f t="shared" si="4"/>
        <v>2775</v>
      </c>
      <c r="I46" s="5">
        <v>5550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7">
        <v>1192.7</v>
      </c>
      <c r="AA46" s="5">
        <f t="shared" si="3"/>
        <v>6742.7</v>
      </c>
      <c r="AC46" s="7">
        <f t="shared" si="2"/>
        <v>4.347826086814166E-3</v>
      </c>
    </row>
    <row r="47" spans="2:29">
      <c r="B47" s="17" t="s">
        <v>477</v>
      </c>
      <c r="C47" s="14" t="s">
        <v>436</v>
      </c>
      <c r="D47" s="23" t="s">
        <v>532</v>
      </c>
      <c r="E47" s="18">
        <v>344453.75</v>
      </c>
      <c r="F47" s="18">
        <f t="shared" si="6"/>
        <v>44928.75</v>
      </c>
      <c r="G47" s="18">
        <f t="shared" si="1"/>
        <v>299525</v>
      </c>
      <c r="H47" s="7">
        <f t="shared" si="4"/>
        <v>45500</v>
      </c>
      <c r="I47" s="5">
        <v>91000</v>
      </c>
      <c r="J47" s="5">
        <v>60000</v>
      </c>
      <c r="K47" s="5">
        <v>1000</v>
      </c>
      <c r="L47" s="5"/>
      <c r="M47" s="5"/>
      <c r="N47" s="5"/>
      <c r="O47" s="5"/>
      <c r="P47" s="5">
        <v>1000</v>
      </c>
      <c r="Q47" s="5"/>
      <c r="R47" s="5">
        <v>60000</v>
      </c>
      <c r="S47" s="5">
        <v>1000</v>
      </c>
      <c r="T47" s="5"/>
      <c r="U47" s="5">
        <v>63525</v>
      </c>
      <c r="V47" s="5">
        <v>22000</v>
      </c>
      <c r="W47" s="5"/>
      <c r="X47" s="5"/>
      <c r="Y47" s="5"/>
      <c r="Z47" s="7"/>
      <c r="AA47" s="5">
        <f t="shared" si="3"/>
        <v>299525</v>
      </c>
      <c r="AC47" s="7">
        <f t="shared" si="2"/>
        <v>0</v>
      </c>
    </row>
    <row r="48" spans="2:29">
      <c r="B48" s="17" t="s">
        <v>477</v>
      </c>
      <c r="C48" s="14" t="s">
        <v>326</v>
      </c>
      <c r="D48" s="23" t="s">
        <v>533</v>
      </c>
      <c r="E48" s="18">
        <v>34500</v>
      </c>
      <c r="F48" s="18">
        <f t="shared" si="6"/>
        <v>4500</v>
      </c>
      <c r="G48" s="18">
        <f t="shared" si="1"/>
        <v>30000</v>
      </c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7"/>
      <c r="AA48" s="5">
        <f t="shared" si="3"/>
        <v>0</v>
      </c>
      <c r="AC48" s="7">
        <f t="shared" si="2"/>
        <v>30000</v>
      </c>
    </row>
    <row r="49" spans="2:29">
      <c r="B49" s="17" t="s">
        <v>477</v>
      </c>
      <c r="C49" s="14" t="s">
        <v>329</v>
      </c>
      <c r="D49" s="23" t="s">
        <v>534</v>
      </c>
      <c r="E49" s="18">
        <v>34500</v>
      </c>
      <c r="F49" s="18">
        <f t="shared" si="6"/>
        <v>4500</v>
      </c>
      <c r="G49" s="18">
        <f t="shared" si="1"/>
        <v>30000</v>
      </c>
      <c r="H49" s="7">
        <f t="shared" si="4"/>
        <v>2250</v>
      </c>
      <c r="I49" s="5">
        <v>4500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7"/>
      <c r="AA49" s="5">
        <f t="shared" si="3"/>
        <v>4500</v>
      </c>
      <c r="AC49" s="7">
        <f t="shared" si="2"/>
        <v>25500</v>
      </c>
    </row>
    <row r="50" spans="2:29">
      <c r="B50" s="17" t="s">
        <v>477</v>
      </c>
      <c r="C50" s="14" t="s">
        <v>334</v>
      </c>
      <c r="D50" s="23" t="s">
        <v>535</v>
      </c>
      <c r="E50" s="26">
        <v>34500</v>
      </c>
      <c r="F50" s="18">
        <f>E50*15/115</f>
        <v>4500</v>
      </c>
      <c r="G50" s="18">
        <f t="shared" si="1"/>
        <v>30000</v>
      </c>
      <c r="H50" s="7">
        <f t="shared" si="4"/>
        <v>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7"/>
      <c r="AA50" s="5">
        <f t="shared" si="3"/>
        <v>0</v>
      </c>
      <c r="AC50" s="7">
        <f t="shared" si="2"/>
        <v>30000</v>
      </c>
    </row>
    <row r="51" spans="2:29">
      <c r="B51" s="17" t="s">
        <v>477</v>
      </c>
      <c r="C51" s="14" t="s">
        <v>536</v>
      </c>
      <c r="D51" s="23"/>
      <c r="E51" s="26">
        <f>+J51+K51+T51</f>
        <v>338165.65</v>
      </c>
      <c r="F51" s="18">
        <v>0</v>
      </c>
      <c r="G51" s="18">
        <v>338165.65</v>
      </c>
      <c r="H51" s="7">
        <f t="shared" si="4"/>
        <v>0</v>
      </c>
      <c r="I51" s="5"/>
      <c r="J51" s="5">
        <v>238875.14</v>
      </c>
      <c r="K51" s="5">
        <v>20400</v>
      </c>
      <c r="L51" s="5"/>
      <c r="M51" s="5"/>
      <c r="N51" s="5"/>
      <c r="O51" s="5"/>
      <c r="P51" s="5"/>
      <c r="Q51" s="5"/>
      <c r="R51" s="5"/>
      <c r="S51" s="5"/>
      <c r="T51" s="5">
        <v>78890.509999999995</v>
      </c>
      <c r="U51" s="5"/>
      <c r="V51" s="5"/>
      <c r="W51" s="5"/>
      <c r="X51" s="5"/>
      <c r="Y51" s="5"/>
      <c r="Z51" s="7"/>
      <c r="AA51" s="5">
        <f t="shared" si="3"/>
        <v>338165.65</v>
      </c>
      <c r="AC51" s="7">
        <f t="shared" si="2"/>
        <v>0</v>
      </c>
    </row>
    <row r="52" spans="2:29">
      <c r="B52" s="17"/>
      <c r="C52" s="14"/>
      <c r="D52" s="14"/>
      <c r="E52" s="18"/>
      <c r="F52" s="18"/>
      <c r="G52" s="1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C52" s="7"/>
    </row>
    <row r="53" spans="2:29" ht="12" thickBot="1">
      <c r="E53" s="8">
        <f>SUM(E8:E51)</f>
        <v>5827416.0600000015</v>
      </c>
      <c r="F53" s="8">
        <f t="shared" ref="F53:AA53" si="7">SUM(F8:F51)</f>
        <v>715989.18391304358</v>
      </c>
      <c r="G53" s="8">
        <f t="shared" si="7"/>
        <v>5111426.8760869568</v>
      </c>
      <c r="H53" s="8">
        <f t="shared" si="7"/>
        <v>718100.34499999997</v>
      </c>
      <c r="I53" s="8">
        <f t="shared" si="7"/>
        <v>1436200.69</v>
      </c>
      <c r="J53" s="8">
        <f t="shared" si="7"/>
        <v>531897.28</v>
      </c>
      <c r="K53" s="8">
        <f t="shared" si="7"/>
        <v>217258</v>
      </c>
      <c r="L53" s="8">
        <f t="shared" si="7"/>
        <v>327798.40999999997</v>
      </c>
      <c r="M53" s="8">
        <f t="shared" si="7"/>
        <v>252361.33000000002</v>
      </c>
      <c r="N53" s="8">
        <f t="shared" si="7"/>
        <v>179394.92999999996</v>
      </c>
      <c r="O53" s="8">
        <f t="shared" si="7"/>
        <v>224854.05</v>
      </c>
      <c r="P53" s="8">
        <f t="shared" si="7"/>
        <v>112243.8</v>
      </c>
      <c r="Q53" s="8">
        <f t="shared" si="7"/>
        <v>351838.00000000006</v>
      </c>
      <c r="R53" s="8">
        <f t="shared" si="7"/>
        <v>199230</v>
      </c>
      <c r="S53" s="8">
        <f t="shared" si="7"/>
        <v>33788.29</v>
      </c>
      <c r="T53" s="8">
        <f t="shared" si="7"/>
        <v>123559.51</v>
      </c>
      <c r="U53" s="8">
        <f t="shared" si="7"/>
        <v>117150</v>
      </c>
      <c r="V53" s="8">
        <f t="shared" si="7"/>
        <v>22000</v>
      </c>
      <c r="W53" s="8">
        <f t="shared" si="7"/>
        <v>8000</v>
      </c>
      <c r="X53" s="8">
        <f t="shared" si="7"/>
        <v>0</v>
      </c>
      <c r="Y53" s="8">
        <f t="shared" si="7"/>
        <v>860428</v>
      </c>
      <c r="Z53" s="8">
        <f t="shared" si="7"/>
        <v>11924.560000000001</v>
      </c>
      <c r="AA53" s="8">
        <f t="shared" si="7"/>
        <v>5009926.8500000006</v>
      </c>
      <c r="AC53" s="8">
        <f>SUM(AC10:AC51)</f>
        <v>101500.02608695651</v>
      </c>
    </row>
    <row r="54" spans="2:29" ht="12" thickTop="1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2:29" ht="12.75" thickBot="1">
      <c r="G55" s="1" t="s">
        <v>63</v>
      </c>
      <c r="H55" s="8">
        <f>(I53/2)-H53</f>
        <v>0</v>
      </c>
      <c r="I55" s="5">
        <f>I53/2</f>
        <v>718100.34499999997</v>
      </c>
      <c r="J55" s="5"/>
      <c r="K55" s="71" t="s">
        <v>170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 ht="12" thickTop="1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I57" s="5"/>
      <c r="J57" s="5"/>
      <c r="K57" s="5" t="s">
        <v>446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5"/>
      <c r="J58" s="5"/>
      <c r="K58" s="5" t="s">
        <v>447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>
      <c r="I59" s="20"/>
      <c r="J59" s="5"/>
      <c r="K59" s="5" t="s">
        <v>170</v>
      </c>
      <c r="L59" s="5">
        <v>3470858.23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9">
      <c r="I60" s="20"/>
      <c r="J60" s="20"/>
      <c r="K60" s="5" t="s">
        <v>448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9">
      <c r="I61" s="2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9" ht="12" thickBot="1">
      <c r="I62" s="20"/>
      <c r="K62" s="5" t="s">
        <v>63</v>
      </c>
      <c r="L62" s="8">
        <f>L59-SUM(I53:Y53)</f>
        <v>-1527144.0599999991</v>
      </c>
    </row>
    <row r="63" spans="2:29" ht="12" thickTop="1">
      <c r="I63" s="20"/>
    </row>
    <row r="64" spans="2:29">
      <c r="I64" s="7"/>
    </row>
    <row r="65" spans="9:9">
      <c r="I65" s="51">
        <v>1897463.28</v>
      </c>
    </row>
    <row r="66" spans="9:9">
      <c r="I66" s="7"/>
    </row>
    <row r="68" spans="9:9">
      <c r="I68" s="7"/>
    </row>
  </sheetData>
  <mergeCells count="1">
    <mergeCell ref="I5:A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D68E-CAF2-4444-BF8D-841E559365C8}">
  <dimension ref="B2:AF70"/>
  <sheetViews>
    <sheetView zoomScale="80" zoomScaleNormal="80" workbookViewId="0">
      <pane xSplit="7" ySplit="7" topLeftCell="O14" activePane="bottomRight" state="frozen"/>
      <selection pane="bottomRight" activeCell="G55" sqref="G55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8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3" width="18" style="1" customWidth="1"/>
    <col min="24" max="24" width="10.7109375" style="1" bestFit="1" customWidth="1"/>
    <col min="25" max="25" width="12.5703125" style="1" bestFit="1" customWidth="1"/>
    <col min="26" max="26" width="15.5703125" style="1" bestFit="1" customWidth="1"/>
    <col min="27" max="27" width="20.28515625" style="1" customWidth="1"/>
    <col min="28" max="28" width="8.85546875" style="1"/>
    <col min="29" max="29" width="10.5703125" style="1" bestFit="1" customWidth="1"/>
    <col min="30" max="16384" width="8.85546875" style="1"/>
  </cols>
  <sheetData>
    <row r="2" spans="2:32" ht="15.75">
      <c r="B2" s="15" t="s">
        <v>369</v>
      </c>
    </row>
    <row r="3" spans="2:32" ht="15.75">
      <c r="B3" s="15"/>
    </row>
    <row r="4" spans="2:32" ht="15.75">
      <c r="B4" s="15" t="s">
        <v>537</v>
      </c>
      <c r="AA4" s="27"/>
      <c r="AF4" s="1">
        <f>Z4-AD4</f>
        <v>0</v>
      </c>
    </row>
    <row r="5" spans="2:32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32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32">
      <c r="B8" s="17">
        <v>45784</v>
      </c>
      <c r="C8" s="14" t="s">
        <v>392</v>
      </c>
      <c r="D8" s="23" t="s">
        <v>538</v>
      </c>
      <c r="E8" s="18">
        <v>351900</v>
      </c>
      <c r="F8" s="18">
        <f t="shared" ref="F8:F21" si="0">E8*15/115</f>
        <v>45900</v>
      </c>
      <c r="G8" s="29">
        <f t="shared" ref="G8:G46" si="1">E8-F8</f>
        <v>306000</v>
      </c>
      <c r="H8" s="7">
        <f>+I8/2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306000</v>
      </c>
      <c r="Z8" s="5"/>
      <c r="AA8" s="5">
        <f t="shared" ref="AA8:AA50" si="2">SUM(I8:Z8)</f>
        <v>306000</v>
      </c>
      <c r="AC8" s="7">
        <f t="shared" ref="AC8:AC50" si="3">G8-AA8</f>
        <v>0</v>
      </c>
    </row>
    <row r="9" spans="2:32">
      <c r="B9" s="17">
        <v>45784</v>
      </c>
      <c r="C9" s="14" t="s">
        <v>337</v>
      </c>
      <c r="D9" s="23" t="s">
        <v>539</v>
      </c>
      <c r="E9" s="18">
        <v>2181.5500000000002</v>
      </c>
      <c r="F9" s="18">
        <f t="shared" si="0"/>
        <v>284.55</v>
      </c>
      <c r="G9" s="29">
        <f t="shared" si="1"/>
        <v>1897.0000000000002</v>
      </c>
      <c r="H9" s="7">
        <f t="shared" ref="H9:H53" si="4">+I9/2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1897</v>
      </c>
      <c r="Z9" s="5"/>
      <c r="AA9" s="5">
        <f t="shared" si="2"/>
        <v>1897</v>
      </c>
      <c r="AC9" s="7">
        <f t="shared" si="3"/>
        <v>0</v>
      </c>
    </row>
    <row r="10" spans="2:32">
      <c r="B10" s="17">
        <v>45784</v>
      </c>
      <c r="C10" s="14" t="s">
        <v>295</v>
      </c>
      <c r="D10" s="23" t="s">
        <v>540</v>
      </c>
      <c r="E10" s="18">
        <v>69000</v>
      </c>
      <c r="F10" s="18">
        <f t="shared" si="0"/>
        <v>9000</v>
      </c>
      <c r="G10" s="18">
        <f t="shared" si="1"/>
        <v>60000</v>
      </c>
      <c r="H10" s="7">
        <f t="shared" si="4"/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60000</v>
      </c>
      <c r="Z10" s="5"/>
      <c r="AA10" s="5">
        <f t="shared" si="2"/>
        <v>60000</v>
      </c>
      <c r="AC10" s="7">
        <f t="shared" si="3"/>
        <v>0</v>
      </c>
    </row>
    <row r="11" spans="2:32">
      <c r="B11" s="17">
        <v>45785</v>
      </c>
      <c r="C11" s="14" t="s">
        <v>392</v>
      </c>
      <c r="D11" s="23" t="s">
        <v>541</v>
      </c>
      <c r="E11" s="18">
        <v>917125</v>
      </c>
      <c r="F11" s="18">
        <f t="shared" si="0"/>
        <v>119625</v>
      </c>
      <c r="G11" s="18">
        <f t="shared" si="1"/>
        <v>797500</v>
      </c>
      <c r="H11" s="7">
        <f t="shared" si="4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797500</v>
      </c>
      <c r="Z11" s="5"/>
      <c r="AA11" s="5">
        <f t="shared" si="2"/>
        <v>797500</v>
      </c>
      <c r="AC11" s="7">
        <f t="shared" si="3"/>
        <v>0</v>
      </c>
    </row>
    <row r="12" spans="2:32">
      <c r="B12" s="17">
        <v>45793</v>
      </c>
      <c r="C12" s="14" t="s">
        <v>411</v>
      </c>
      <c r="D12" s="23" t="s">
        <v>542</v>
      </c>
      <c r="E12" s="18">
        <v>0</v>
      </c>
      <c r="F12" s="18">
        <f t="shared" si="0"/>
        <v>0</v>
      </c>
      <c r="G12" s="18">
        <v>0</v>
      </c>
      <c r="H12" s="7">
        <f t="shared" si="4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32">
      <c r="B13" s="17">
        <v>45805</v>
      </c>
      <c r="C13" s="14" t="s">
        <v>269</v>
      </c>
      <c r="D13" s="23" t="s">
        <v>543</v>
      </c>
      <c r="E13" s="18">
        <v>99907.86</v>
      </c>
      <c r="F13" s="18">
        <f t="shared" si="0"/>
        <v>13031.46</v>
      </c>
      <c r="G13" s="18">
        <f t="shared" si="1"/>
        <v>86876.4</v>
      </c>
      <c r="H13" s="7">
        <f t="shared" si="4"/>
        <v>0</v>
      </c>
      <c r="I13" s="5"/>
      <c r="J13" s="5">
        <v>71245.929999999993</v>
      </c>
      <c r="K13" s="5"/>
      <c r="L13" s="5"/>
      <c r="M13" s="5"/>
      <c r="N13" s="5">
        <v>2489.94</v>
      </c>
      <c r="O13" s="5"/>
      <c r="P13" s="5"/>
      <c r="Q13" s="5"/>
      <c r="R13" s="5"/>
      <c r="S13" s="5">
        <v>7557.53</v>
      </c>
      <c r="T13" s="5"/>
      <c r="U13" s="5"/>
      <c r="V13" s="5"/>
      <c r="W13" s="5"/>
      <c r="X13" s="5"/>
      <c r="Y13" s="5"/>
      <c r="Z13" s="5">
        <v>5583</v>
      </c>
      <c r="AA13" s="5">
        <f t="shared" si="2"/>
        <v>86876.4</v>
      </c>
      <c r="AC13" s="7">
        <f t="shared" si="3"/>
        <v>0</v>
      </c>
    </row>
    <row r="14" spans="2:32">
      <c r="B14" s="17">
        <v>45805</v>
      </c>
      <c r="C14" s="14" t="s">
        <v>469</v>
      </c>
      <c r="D14" s="23" t="s">
        <v>544</v>
      </c>
      <c r="E14" s="18">
        <v>195034.02</v>
      </c>
      <c r="F14" s="18">
        <f t="shared" si="0"/>
        <v>25439.219999999998</v>
      </c>
      <c r="G14" s="18">
        <f t="shared" si="1"/>
        <v>169594.8</v>
      </c>
      <c r="H14" s="7">
        <f t="shared" si="4"/>
        <v>0</v>
      </c>
      <c r="I14" s="5"/>
      <c r="J14" s="5"/>
      <c r="K14" s="5"/>
      <c r="L14" s="5"/>
      <c r="M14" s="5"/>
      <c r="N14" s="5"/>
      <c r="O14" s="5"/>
      <c r="P14" s="5"/>
      <c r="Q14" s="5">
        <v>164835</v>
      </c>
      <c r="R14" s="5"/>
      <c r="S14" s="5">
        <v>4080</v>
      </c>
      <c r="T14" s="5"/>
      <c r="U14" s="5"/>
      <c r="V14" s="5"/>
      <c r="W14" s="5"/>
      <c r="X14" s="5"/>
      <c r="Y14" s="5"/>
      <c r="Z14" s="5">
        <v>679.8</v>
      </c>
      <c r="AA14" s="5">
        <f t="shared" si="2"/>
        <v>169594.8</v>
      </c>
      <c r="AC14" s="7">
        <f t="shared" si="3"/>
        <v>0</v>
      </c>
    </row>
    <row r="15" spans="2:32">
      <c r="B15" s="17">
        <v>45805</v>
      </c>
      <c r="C15" s="14" t="s">
        <v>545</v>
      </c>
      <c r="D15" s="23" t="s">
        <v>546</v>
      </c>
      <c r="E15" s="18">
        <v>63530.28</v>
      </c>
      <c r="F15" s="18">
        <f t="shared" si="0"/>
        <v>8286.558260869564</v>
      </c>
      <c r="G15" s="18">
        <f t="shared" si="1"/>
        <v>55243.721739130437</v>
      </c>
      <c r="H15" s="7">
        <f t="shared" si="4"/>
        <v>0</v>
      </c>
      <c r="I15" s="5"/>
      <c r="J15" s="5"/>
      <c r="K15" s="5"/>
      <c r="L15" s="5">
        <v>20806.03</v>
      </c>
      <c r="M15" s="5">
        <v>17439.740000000002</v>
      </c>
      <c r="N15" s="5">
        <v>12761.02</v>
      </c>
      <c r="O15" s="5"/>
      <c r="P15" s="5"/>
      <c r="Q15" s="5"/>
      <c r="R15" s="5"/>
      <c r="S15" s="5">
        <v>4223.43</v>
      </c>
      <c r="T15" s="5"/>
      <c r="U15" s="5"/>
      <c r="V15" s="5"/>
      <c r="W15" s="5"/>
      <c r="X15" s="5"/>
      <c r="Y15" s="5"/>
      <c r="Z15" s="5">
        <v>13.5</v>
      </c>
      <c r="AA15" s="5">
        <f t="shared" si="2"/>
        <v>55243.720000000008</v>
      </c>
      <c r="AC15" s="7">
        <f t="shared" si="3"/>
        <v>1.7391304281773046E-3</v>
      </c>
    </row>
    <row r="16" spans="2:32">
      <c r="B16" s="17">
        <v>45805</v>
      </c>
      <c r="C16" s="14" t="s">
        <v>547</v>
      </c>
      <c r="D16" s="23" t="s">
        <v>548</v>
      </c>
      <c r="E16" s="18">
        <v>0</v>
      </c>
      <c r="F16" s="18">
        <f t="shared" si="0"/>
        <v>0</v>
      </c>
      <c r="G16" s="18">
        <f t="shared" si="1"/>
        <v>0</v>
      </c>
      <c r="H16" s="7">
        <f t="shared" si="4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>
        <v>45805</v>
      </c>
      <c r="C17" s="14" t="s">
        <v>411</v>
      </c>
      <c r="D17" s="23" t="s">
        <v>549</v>
      </c>
      <c r="E17" s="18">
        <v>0</v>
      </c>
      <c r="F17" s="18">
        <f t="shared" si="0"/>
        <v>0</v>
      </c>
      <c r="G17" s="18">
        <f t="shared" si="1"/>
        <v>0</v>
      </c>
      <c r="H17" s="7">
        <f t="shared" si="4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>
        <v>45805</v>
      </c>
      <c r="C18" s="14" t="s">
        <v>220</v>
      </c>
      <c r="D18" s="23" t="s">
        <v>550</v>
      </c>
      <c r="E18" s="18">
        <v>7276.05</v>
      </c>
      <c r="F18" s="18">
        <f t="shared" si="0"/>
        <v>949.05</v>
      </c>
      <c r="G18" s="18">
        <f t="shared" si="1"/>
        <v>6327</v>
      </c>
      <c r="H18" s="7">
        <f t="shared" si="4"/>
        <v>0</v>
      </c>
      <c r="I18" s="5"/>
      <c r="J18" s="5">
        <v>2527</v>
      </c>
      <c r="K18" s="5"/>
      <c r="L18" s="5"/>
      <c r="M18" s="5"/>
      <c r="N18" s="5"/>
      <c r="O18" s="5"/>
      <c r="P18" s="5"/>
      <c r="Q18" s="5"/>
      <c r="R18" s="5"/>
      <c r="S18" s="5"/>
      <c r="T18" s="5">
        <v>3800</v>
      </c>
      <c r="U18" s="5"/>
      <c r="V18" s="5"/>
      <c r="W18" s="5"/>
      <c r="X18" s="5"/>
      <c r="Y18" s="5"/>
      <c r="Z18" s="5"/>
      <c r="AA18" s="5">
        <f t="shared" si="2"/>
        <v>6327</v>
      </c>
      <c r="AC18" s="7">
        <f t="shared" si="3"/>
        <v>0</v>
      </c>
    </row>
    <row r="19" spans="2:29">
      <c r="B19" s="17">
        <v>45805</v>
      </c>
      <c r="C19" s="14" t="s">
        <v>210</v>
      </c>
      <c r="D19" s="23" t="s">
        <v>551</v>
      </c>
      <c r="E19" s="18">
        <v>34838.720000000001</v>
      </c>
      <c r="F19" s="18">
        <f t="shared" si="0"/>
        <v>4544.180869565218</v>
      </c>
      <c r="G19" s="18">
        <f t="shared" si="1"/>
        <v>30294.539130434783</v>
      </c>
      <c r="H19" s="7">
        <f t="shared" si="4"/>
        <v>0</v>
      </c>
      <c r="I19" s="5"/>
      <c r="J19" s="5">
        <v>15385.82</v>
      </c>
      <c r="K19" s="5"/>
      <c r="L19" s="5"/>
      <c r="M19" s="5"/>
      <c r="N19" s="5">
        <v>14908.72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30294.54</v>
      </c>
      <c r="AC19" s="7">
        <f t="shared" si="3"/>
        <v>-8.6956521772663109E-4</v>
      </c>
    </row>
    <row r="20" spans="2:29">
      <c r="B20" s="17">
        <v>45805</v>
      </c>
      <c r="C20" s="14" t="s">
        <v>295</v>
      </c>
      <c r="D20" s="23" t="s">
        <v>552</v>
      </c>
      <c r="E20" s="18">
        <v>62567.26</v>
      </c>
      <c r="F20" s="18">
        <f t="shared" si="0"/>
        <v>8160.9469565217396</v>
      </c>
      <c r="G20" s="18">
        <f t="shared" si="1"/>
        <v>54406.313043478265</v>
      </c>
      <c r="H20" s="7">
        <f t="shared" si="4"/>
        <v>9567.0049999999992</v>
      </c>
      <c r="I20" s="5">
        <v>19134.009999999998</v>
      </c>
      <c r="J20" s="5"/>
      <c r="K20" s="5"/>
      <c r="L20" s="5">
        <v>6876.5</v>
      </c>
      <c r="M20" s="5"/>
      <c r="N20" s="5">
        <v>4008.49</v>
      </c>
      <c r="O20" s="5">
        <v>6306.23</v>
      </c>
      <c r="P20" s="5"/>
      <c r="Q20" s="5">
        <v>16974.59</v>
      </c>
      <c r="R20" s="5"/>
      <c r="S20" s="5">
        <v>1106.49</v>
      </c>
      <c r="T20" s="5"/>
      <c r="U20" s="5"/>
      <c r="V20" s="5"/>
      <c r="W20" s="5"/>
      <c r="X20" s="5"/>
      <c r="Y20" s="5"/>
      <c r="Z20" s="5"/>
      <c r="AA20" s="5">
        <f t="shared" si="2"/>
        <v>54406.30999999999</v>
      </c>
      <c r="AC20" s="7">
        <f t="shared" si="3"/>
        <v>3.0434782747761346E-3</v>
      </c>
    </row>
    <row r="21" spans="2:29">
      <c r="B21" s="17">
        <v>45805</v>
      </c>
      <c r="C21" s="14" t="s">
        <v>269</v>
      </c>
      <c r="D21" s="23" t="s">
        <v>553</v>
      </c>
      <c r="E21" s="18">
        <v>6383.04</v>
      </c>
      <c r="F21" s="18">
        <f t="shared" si="0"/>
        <v>832.5704347826088</v>
      </c>
      <c r="G21" s="18">
        <f t="shared" si="1"/>
        <v>5550.4695652173914</v>
      </c>
      <c r="H21" s="7">
        <f t="shared" si="4"/>
        <v>0</v>
      </c>
      <c r="I21" s="5"/>
      <c r="J21" s="5">
        <v>2597.62</v>
      </c>
      <c r="K21" s="5"/>
      <c r="L21" s="5"/>
      <c r="M21" s="5"/>
      <c r="N21" s="5">
        <v>2952.85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5550.4699999999993</v>
      </c>
      <c r="AC21" s="7">
        <f t="shared" si="3"/>
        <v>-4.3478260795382084E-4</v>
      </c>
    </row>
    <row r="22" spans="2:29">
      <c r="B22" s="17">
        <v>45805</v>
      </c>
      <c r="C22" s="14" t="s">
        <v>547</v>
      </c>
      <c r="D22" s="23" t="s">
        <v>554</v>
      </c>
      <c r="E22" s="18">
        <v>0</v>
      </c>
      <c r="F22" s="18">
        <f t="shared" ref="F22:F27" si="5">E22*15/115</f>
        <v>0</v>
      </c>
      <c r="G22" s="18">
        <f t="shared" si="1"/>
        <v>0</v>
      </c>
      <c r="H22" s="7">
        <f t="shared" si="4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>
        <v>45805</v>
      </c>
      <c r="C23" s="14" t="s">
        <v>295</v>
      </c>
      <c r="D23" s="23" t="s">
        <v>555</v>
      </c>
      <c r="E23" s="18">
        <v>42779.95</v>
      </c>
      <c r="F23" s="18">
        <f t="shared" si="5"/>
        <v>5579.9934782608698</v>
      </c>
      <c r="G23" s="18">
        <f t="shared" si="1"/>
        <v>37199.956521739128</v>
      </c>
      <c r="H23" s="7">
        <f t="shared" si="4"/>
        <v>5466.86</v>
      </c>
      <c r="I23" s="5">
        <v>10933.72</v>
      </c>
      <c r="J23" s="5"/>
      <c r="K23" s="5"/>
      <c r="L23" s="5">
        <v>4645.83</v>
      </c>
      <c r="M23" s="5"/>
      <c r="N23" s="5">
        <v>3924.63</v>
      </c>
      <c r="O23" s="5">
        <v>721.19</v>
      </c>
      <c r="P23" s="5"/>
      <c r="Q23" s="5">
        <v>16974.59</v>
      </c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37199.96</v>
      </c>
      <c r="AC23" s="7">
        <f t="shared" si="3"/>
        <v>-3.4782608709065244E-3</v>
      </c>
    </row>
    <row r="24" spans="2:29">
      <c r="B24" s="17">
        <v>45805</v>
      </c>
      <c r="C24" s="14" t="s">
        <v>295</v>
      </c>
      <c r="D24" s="23" t="s">
        <v>556</v>
      </c>
      <c r="E24" s="18">
        <v>43937.22</v>
      </c>
      <c r="F24" s="29">
        <f t="shared" si="5"/>
        <v>5730.9417391304351</v>
      </c>
      <c r="G24" s="29">
        <f t="shared" si="1"/>
        <v>38206.278260869563</v>
      </c>
      <c r="H24" s="7">
        <f t="shared" si="4"/>
        <v>5466.86</v>
      </c>
      <c r="I24" s="5">
        <v>10933.72</v>
      </c>
      <c r="J24" s="5"/>
      <c r="K24" s="5"/>
      <c r="L24" s="5">
        <v>5484.43</v>
      </c>
      <c r="M24" s="5"/>
      <c r="N24" s="5">
        <v>4092.35</v>
      </c>
      <c r="O24" s="5">
        <v>721.19</v>
      </c>
      <c r="P24" s="5"/>
      <c r="Q24" s="5">
        <v>16974.59</v>
      </c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38206.28</v>
      </c>
      <c r="AC24" s="7">
        <f t="shared" si="3"/>
        <v>-1.7391304354532622E-3</v>
      </c>
    </row>
    <row r="25" spans="2:29">
      <c r="B25" s="17">
        <v>45805</v>
      </c>
      <c r="C25" s="14" t="s">
        <v>295</v>
      </c>
      <c r="D25" s="23" t="s">
        <v>557</v>
      </c>
      <c r="E25" s="18">
        <v>43204.29</v>
      </c>
      <c r="F25" s="18">
        <f t="shared" si="5"/>
        <v>5635.3421739130436</v>
      </c>
      <c r="G25" s="18">
        <f t="shared" si="1"/>
        <v>37568.947826086958</v>
      </c>
      <c r="H25" s="7">
        <f t="shared" si="4"/>
        <v>5466.86</v>
      </c>
      <c r="I25" s="5">
        <v>10933.72</v>
      </c>
      <c r="J25" s="5"/>
      <c r="K25" s="5"/>
      <c r="L25" s="5">
        <v>5484.43</v>
      </c>
      <c r="M25" s="5"/>
      <c r="N25" s="5">
        <v>4008.49</v>
      </c>
      <c r="O25" s="5">
        <v>167.72</v>
      </c>
      <c r="P25" s="5"/>
      <c r="Q25" s="5">
        <v>16974.59</v>
      </c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37568.949999999997</v>
      </c>
      <c r="AC25" s="7">
        <f t="shared" si="3"/>
        <v>-2.1739130388596095E-3</v>
      </c>
    </row>
    <row r="26" spans="2:29">
      <c r="B26" s="17">
        <v>45805</v>
      </c>
      <c r="C26" s="14" t="s">
        <v>295</v>
      </c>
      <c r="D26" s="23" t="s">
        <v>558</v>
      </c>
      <c r="E26" s="18">
        <v>50764.160000000003</v>
      </c>
      <c r="F26" s="18">
        <f t="shared" si="5"/>
        <v>6621.4121739130433</v>
      </c>
      <c r="G26" s="18">
        <f t="shared" si="1"/>
        <v>44142.747826086961</v>
      </c>
      <c r="H26" s="7">
        <f t="shared" si="4"/>
        <v>8200.2900000000009</v>
      </c>
      <c r="I26" s="5">
        <v>16400.580000000002</v>
      </c>
      <c r="J26" s="5"/>
      <c r="K26" s="5"/>
      <c r="L26" s="5">
        <v>5484.43</v>
      </c>
      <c r="M26" s="5"/>
      <c r="N26" s="5">
        <v>4008.49</v>
      </c>
      <c r="O26" s="5">
        <v>1274.6600000000001</v>
      </c>
      <c r="P26" s="5"/>
      <c r="Q26" s="5">
        <v>16974.59</v>
      </c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44142.75</v>
      </c>
      <c r="AC26" s="7">
        <f t="shared" si="3"/>
        <v>-2.1739130388596095E-3</v>
      </c>
    </row>
    <row r="27" spans="2:29">
      <c r="B27" s="17">
        <v>45805</v>
      </c>
      <c r="C27" s="14" t="s">
        <v>392</v>
      </c>
      <c r="D27" s="23" t="s">
        <v>559</v>
      </c>
      <c r="E27" s="18">
        <v>354879.6</v>
      </c>
      <c r="F27" s="18">
        <f t="shared" si="5"/>
        <v>46288.64347826087</v>
      </c>
      <c r="G27" s="18">
        <f t="shared" si="1"/>
        <v>308590.95652173914</v>
      </c>
      <c r="H27" s="7">
        <f t="shared" si="4"/>
        <v>80815.02</v>
      </c>
      <c r="I27" s="5">
        <v>161630.04</v>
      </c>
      <c r="J27" s="5">
        <v>54883.11</v>
      </c>
      <c r="K27" s="5">
        <v>50478.47</v>
      </c>
      <c r="L27" s="5"/>
      <c r="M27" s="5"/>
      <c r="N27" s="5">
        <v>38968.94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2630.4</v>
      </c>
      <c r="AA27" s="5">
        <f t="shared" si="2"/>
        <v>308590.96000000002</v>
      </c>
      <c r="AC27" s="7">
        <f t="shared" si="3"/>
        <v>-3.4782608854584396E-3</v>
      </c>
    </row>
    <row r="28" spans="2:29">
      <c r="B28" s="17">
        <v>45805</v>
      </c>
      <c r="C28" s="14" t="s">
        <v>235</v>
      </c>
      <c r="D28" s="23" t="s">
        <v>560</v>
      </c>
      <c r="E28" s="18">
        <v>21426.57</v>
      </c>
      <c r="F28" s="18">
        <f t="shared" ref="F28:F46" si="6">E28*15/115</f>
        <v>2794.77</v>
      </c>
      <c r="G28" s="18">
        <f t="shared" si="1"/>
        <v>18631.8</v>
      </c>
      <c r="H28" s="7">
        <f t="shared" si="4"/>
        <v>0</v>
      </c>
      <c r="I28" s="5"/>
      <c r="J28" s="5"/>
      <c r="K28" s="5"/>
      <c r="L28" s="5">
        <v>7246.8</v>
      </c>
      <c r="M28" s="5"/>
      <c r="N28" s="5">
        <v>11385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18631.8</v>
      </c>
      <c r="AC28" s="7">
        <f t="shared" si="3"/>
        <v>0</v>
      </c>
    </row>
    <row r="29" spans="2:29">
      <c r="B29" s="17">
        <v>45805</v>
      </c>
      <c r="C29" s="14" t="s">
        <v>561</v>
      </c>
      <c r="D29" s="23" t="s">
        <v>562</v>
      </c>
      <c r="E29" s="18">
        <v>14375</v>
      </c>
      <c r="F29" s="18">
        <f t="shared" si="6"/>
        <v>1875</v>
      </c>
      <c r="G29" s="18">
        <f t="shared" si="1"/>
        <v>12500</v>
      </c>
      <c r="H29" s="7">
        <f t="shared" si="4"/>
        <v>5500</v>
      </c>
      <c r="I29" s="5">
        <v>11000</v>
      </c>
      <c r="J29" s="5">
        <v>1500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12500</v>
      </c>
      <c r="AC29" s="7">
        <f t="shared" si="3"/>
        <v>0</v>
      </c>
    </row>
    <row r="30" spans="2:29">
      <c r="B30" s="17">
        <v>45805</v>
      </c>
      <c r="C30" s="14" t="s">
        <v>411</v>
      </c>
      <c r="D30" s="23" t="s">
        <v>563</v>
      </c>
      <c r="E30" s="18">
        <v>0</v>
      </c>
      <c r="F30" s="18">
        <f t="shared" si="6"/>
        <v>0</v>
      </c>
      <c r="G30" s="18">
        <f t="shared" si="1"/>
        <v>0</v>
      </c>
      <c r="H30" s="7">
        <f t="shared" si="4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>
        <v>45805</v>
      </c>
      <c r="C31" s="14" t="s">
        <v>295</v>
      </c>
      <c r="D31" s="23" t="s">
        <v>564</v>
      </c>
      <c r="E31" s="18">
        <v>22950.1</v>
      </c>
      <c r="F31" s="18">
        <f t="shared" si="6"/>
        <v>2993.4913043478259</v>
      </c>
      <c r="G31" s="18">
        <f t="shared" si="1"/>
        <v>19956.608695652172</v>
      </c>
      <c r="H31" s="7">
        <f t="shared" si="4"/>
        <v>6833.5749999999998</v>
      </c>
      <c r="I31" s="5">
        <v>13667.15</v>
      </c>
      <c r="J31" s="5"/>
      <c r="K31" s="5">
        <v>6289.46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19956.61</v>
      </c>
      <c r="AC31" s="7">
        <f t="shared" si="3"/>
        <v>-1.304347828408936E-3</v>
      </c>
    </row>
    <row r="32" spans="2:29">
      <c r="B32" s="17">
        <v>45805</v>
      </c>
      <c r="C32" s="14" t="s">
        <v>547</v>
      </c>
      <c r="D32" s="23" t="s">
        <v>565</v>
      </c>
      <c r="E32" s="18">
        <v>0</v>
      </c>
      <c r="F32" s="18">
        <f t="shared" si="6"/>
        <v>0</v>
      </c>
      <c r="G32" s="18">
        <f t="shared" si="1"/>
        <v>0</v>
      </c>
      <c r="H32" s="7">
        <f t="shared" si="4"/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>
        <v>45805</v>
      </c>
      <c r="C33" s="14" t="s">
        <v>529</v>
      </c>
      <c r="D33" s="23" t="s">
        <v>566</v>
      </c>
      <c r="E33" s="18">
        <v>8038.5</v>
      </c>
      <c r="F33" s="18">
        <f t="shared" si="6"/>
        <v>1048.5</v>
      </c>
      <c r="G33" s="18">
        <f t="shared" si="1"/>
        <v>6990</v>
      </c>
      <c r="H33" s="7">
        <f t="shared" si="4"/>
        <v>0</v>
      </c>
      <c r="I33" s="5"/>
      <c r="J33" s="5">
        <v>990</v>
      </c>
      <c r="K33" s="5"/>
      <c r="L33" s="5"/>
      <c r="M33" s="5"/>
      <c r="N33" s="5"/>
      <c r="O33" s="5"/>
      <c r="P33" s="5"/>
      <c r="Q33" s="5"/>
      <c r="R33" s="5">
        <v>6000</v>
      </c>
      <c r="S33" s="5"/>
      <c r="T33" s="5"/>
      <c r="U33" s="5"/>
      <c r="V33" s="5"/>
      <c r="W33" s="5"/>
      <c r="X33" s="5"/>
      <c r="Y33" s="5"/>
      <c r="Z33" s="5"/>
      <c r="AA33" s="5">
        <f t="shared" si="2"/>
        <v>6990</v>
      </c>
      <c r="AC33" s="7">
        <f t="shared" si="3"/>
        <v>0</v>
      </c>
    </row>
    <row r="34" spans="2:29">
      <c r="B34" s="17">
        <v>45805</v>
      </c>
      <c r="C34" s="14" t="s">
        <v>567</v>
      </c>
      <c r="D34" s="23" t="s">
        <v>568</v>
      </c>
      <c r="E34" s="18">
        <v>3984.75</v>
      </c>
      <c r="F34" s="18">
        <f t="shared" si="6"/>
        <v>519.75</v>
      </c>
      <c r="G34" s="18">
        <f t="shared" si="1"/>
        <v>3465</v>
      </c>
      <c r="H34" s="7">
        <f t="shared" si="4"/>
        <v>0</v>
      </c>
      <c r="I34" s="5"/>
      <c r="J34" s="5"/>
      <c r="K34" s="5"/>
      <c r="L34" s="5">
        <v>158.4</v>
      </c>
      <c r="M34" s="5"/>
      <c r="N34" s="5">
        <v>3306.6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3465</v>
      </c>
      <c r="AC34" s="7">
        <f t="shared" si="3"/>
        <v>0</v>
      </c>
    </row>
    <row r="35" spans="2:29">
      <c r="B35" s="17">
        <v>45805</v>
      </c>
      <c r="C35" s="14" t="s">
        <v>210</v>
      </c>
      <c r="D35" s="23" t="s">
        <v>569</v>
      </c>
      <c r="E35" s="18">
        <v>18590.919999999998</v>
      </c>
      <c r="F35" s="18">
        <f t="shared" si="6"/>
        <v>2424.9026086956519</v>
      </c>
      <c r="G35" s="18">
        <f t="shared" si="1"/>
        <v>16166.017391304347</v>
      </c>
      <c r="H35" s="7">
        <f t="shared" si="4"/>
        <v>0</v>
      </c>
      <c r="I35" s="5"/>
      <c r="J35" s="5">
        <v>10717.79</v>
      </c>
      <c r="K35" s="5"/>
      <c r="L35" s="5"/>
      <c r="M35" s="5"/>
      <c r="N35" s="5">
        <v>5448.23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16166.02</v>
      </c>
      <c r="AC35" s="7">
        <f t="shared" si="3"/>
        <v>-2.6086956531798933E-3</v>
      </c>
    </row>
    <row r="36" spans="2:29">
      <c r="B36" s="17">
        <v>45805</v>
      </c>
      <c r="C36" s="14" t="s">
        <v>205</v>
      </c>
      <c r="D36" s="23" t="s">
        <v>570</v>
      </c>
      <c r="E36" s="18">
        <v>240107.42</v>
      </c>
      <c r="F36" s="18">
        <f t="shared" si="6"/>
        <v>31318.359130434786</v>
      </c>
      <c r="G36" s="18">
        <f t="shared" si="1"/>
        <v>208789.06086956523</v>
      </c>
      <c r="H36" s="7">
        <f t="shared" si="4"/>
        <v>0</v>
      </c>
      <c r="I36" s="5"/>
      <c r="J36" s="5"/>
      <c r="K36" s="5"/>
      <c r="L36" s="5"/>
      <c r="M36" s="5">
        <v>120995</v>
      </c>
      <c r="N36" s="5"/>
      <c r="O36" s="5"/>
      <c r="P36" s="5"/>
      <c r="Q36" s="5"/>
      <c r="R36" s="5">
        <v>85980</v>
      </c>
      <c r="S36" s="5">
        <v>1794</v>
      </c>
      <c r="T36" s="5"/>
      <c r="U36" s="5"/>
      <c r="V36" s="5"/>
      <c r="W36" s="5"/>
      <c r="X36" s="5"/>
      <c r="Y36" s="5"/>
      <c r="Z36" s="5">
        <v>20.059999999999999</v>
      </c>
      <c r="AA36" s="5">
        <f t="shared" si="2"/>
        <v>208789.06</v>
      </c>
      <c r="AC36" s="7">
        <f t="shared" si="3"/>
        <v>8.6956523591652513E-4</v>
      </c>
    </row>
    <row r="37" spans="2:29">
      <c r="B37" s="17">
        <v>45805</v>
      </c>
      <c r="C37" s="14" t="s">
        <v>571</v>
      </c>
      <c r="D37" s="23" t="s">
        <v>572</v>
      </c>
      <c r="E37" s="18">
        <v>0</v>
      </c>
      <c r="F37" s="18">
        <f t="shared" si="6"/>
        <v>0</v>
      </c>
      <c r="G37" s="18">
        <f t="shared" si="1"/>
        <v>0</v>
      </c>
      <c r="H37" s="7">
        <f t="shared" si="4"/>
        <v>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>
        <v>45805</v>
      </c>
      <c r="C38" s="14" t="s">
        <v>547</v>
      </c>
      <c r="D38" s="23" t="s">
        <v>573</v>
      </c>
      <c r="E38" s="18">
        <v>0</v>
      </c>
      <c r="F38" s="18">
        <f t="shared" si="6"/>
        <v>0</v>
      </c>
      <c r="G38" s="18">
        <f t="shared" si="1"/>
        <v>0</v>
      </c>
      <c r="H38" s="7">
        <f t="shared" si="4"/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>
        <v>45805</v>
      </c>
      <c r="C39" s="14" t="s">
        <v>341</v>
      </c>
      <c r="D39" s="23" t="s">
        <v>574</v>
      </c>
      <c r="E39" s="18">
        <v>124200</v>
      </c>
      <c r="F39" s="18">
        <f t="shared" si="6"/>
        <v>16200</v>
      </c>
      <c r="G39" s="18">
        <f t="shared" si="1"/>
        <v>108000</v>
      </c>
      <c r="H39" s="7">
        <f t="shared" si="4"/>
        <v>0</v>
      </c>
      <c r="I39" s="5"/>
      <c r="J39" s="5"/>
      <c r="K39" s="5"/>
      <c r="L39" s="5"/>
      <c r="M39" s="5"/>
      <c r="N39" s="5"/>
      <c r="O39" s="5"/>
      <c r="P39" s="5"/>
      <c r="Q39" s="5">
        <v>108000</v>
      </c>
      <c r="R39" s="5"/>
      <c r="S39" s="5"/>
      <c r="T39" s="5"/>
      <c r="U39" s="5"/>
      <c r="V39" s="5"/>
      <c r="W39" s="5"/>
      <c r="X39" s="5"/>
      <c r="Y39" s="5"/>
      <c r="Z39" s="5"/>
      <c r="AA39" s="5">
        <f t="shared" si="2"/>
        <v>108000</v>
      </c>
      <c r="AC39" s="7">
        <f t="shared" si="3"/>
        <v>0</v>
      </c>
    </row>
    <row r="40" spans="2:29">
      <c r="B40" s="17">
        <v>45805</v>
      </c>
      <c r="C40" s="14" t="s">
        <v>575</v>
      </c>
      <c r="D40" s="23" t="s">
        <v>576</v>
      </c>
      <c r="E40" s="18">
        <v>0</v>
      </c>
      <c r="F40" s="18">
        <f t="shared" si="6"/>
        <v>0</v>
      </c>
      <c r="G40" s="18">
        <f t="shared" si="1"/>
        <v>0</v>
      </c>
      <c r="H40" s="7">
        <f t="shared" si="4"/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2"/>
        <v>0</v>
      </c>
      <c r="AC40" s="7">
        <f t="shared" si="3"/>
        <v>0</v>
      </c>
    </row>
    <row r="41" spans="2:29">
      <c r="B41" s="17">
        <v>45805</v>
      </c>
      <c r="C41" s="14" t="s">
        <v>436</v>
      </c>
      <c r="D41" s="23" t="s">
        <v>577</v>
      </c>
      <c r="E41" s="18">
        <v>18112.5</v>
      </c>
      <c r="F41" s="18">
        <f t="shared" si="6"/>
        <v>2362.5</v>
      </c>
      <c r="G41" s="18">
        <f t="shared" si="1"/>
        <v>15750</v>
      </c>
      <c r="H41" s="7">
        <f t="shared" si="4"/>
        <v>0</v>
      </c>
      <c r="I41" s="5"/>
      <c r="J41" s="5">
        <v>15750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2"/>
        <v>15750</v>
      </c>
      <c r="AC41" s="7">
        <f t="shared" si="3"/>
        <v>0</v>
      </c>
    </row>
    <row r="42" spans="2:29">
      <c r="B42" s="17">
        <v>45805</v>
      </c>
      <c r="C42" s="14" t="s">
        <v>337</v>
      </c>
      <c r="D42" s="23" t="s">
        <v>578</v>
      </c>
      <c r="E42" s="18">
        <v>13397.5</v>
      </c>
      <c r="F42" s="18">
        <f t="shared" si="6"/>
        <v>1747.5</v>
      </c>
      <c r="G42" s="18">
        <f t="shared" si="1"/>
        <v>11650</v>
      </c>
      <c r="H42" s="7">
        <f t="shared" si="4"/>
        <v>825</v>
      </c>
      <c r="I42" s="5">
        <v>1650</v>
      </c>
      <c r="J42" s="5"/>
      <c r="K42" s="5"/>
      <c r="L42" s="5">
        <v>4000</v>
      </c>
      <c r="M42" s="5"/>
      <c r="N42" s="5"/>
      <c r="O42" s="5">
        <v>6000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2"/>
        <v>11650</v>
      </c>
      <c r="AC42" s="7">
        <f t="shared" si="3"/>
        <v>0</v>
      </c>
    </row>
    <row r="43" spans="2:29">
      <c r="B43" s="17">
        <v>45805</v>
      </c>
      <c r="C43" s="14" t="s">
        <v>392</v>
      </c>
      <c r="D43" s="23" t="s">
        <v>579</v>
      </c>
      <c r="E43" s="18">
        <v>25119.45</v>
      </c>
      <c r="F43" s="18">
        <f t="shared" si="6"/>
        <v>3276.45</v>
      </c>
      <c r="G43" s="18">
        <f t="shared" si="1"/>
        <v>21843</v>
      </c>
      <c r="H43" s="7">
        <f t="shared" si="4"/>
        <v>5073</v>
      </c>
      <c r="I43" s="5">
        <v>10146</v>
      </c>
      <c r="J43" s="5"/>
      <c r="K43" s="5"/>
      <c r="L43" s="5">
        <v>5850</v>
      </c>
      <c r="M43" s="5"/>
      <c r="N43" s="5"/>
      <c r="O43" s="5">
        <v>4097</v>
      </c>
      <c r="P43" s="5"/>
      <c r="Q43" s="5"/>
      <c r="R43" s="5"/>
      <c r="S43" s="5">
        <v>1750</v>
      </c>
      <c r="T43" s="5"/>
      <c r="U43" s="5"/>
      <c r="V43" s="5"/>
      <c r="W43" s="5"/>
      <c r="X43" s="5"/>
      <c r="Y43" s="5"/>
      <c r="Z43" s="5"/>
      <c r="AA43" s="5">
        <f t="shared" si="2"/>
        <v>21843</v>
      </c>
      <c r="AC43" s="7">
        <f t="shared" si="3"/>
        <v>0</v>
      </c>
    </row>
    <row r="44" spans="2:29">
      <c r="B44" s="17">
        <v>45805</v>
      </c>
      <c r="C44" s="14" t="s">
        <v>259</v>
      </c>
      <c r="D44" s="23" t="s">
        <v>580</v>
      </c>
      <c r="E44" s="18">
        <v>15870</v>
      </c>
      <c r="F44" s="18">
        <f t="shared" si="6"/>
        <v>2070</v>
      </c>
      <c r="G44" s="18">
        <f t="shared" si="1"/>
        <v>13800</v>
      </c>
      <c r="H44" s="7">
        <f t="shared" si="4"/>
        <v>3000</v>
      </c>
      <c r="I44" s="5">
        <v>6000</v>
      </c>
      <c r="J44" s="5"/>
      <c r="K44" s="5"/>
      <c r="L44" s="5">
        <v>4200</v>
      </c>
      <c r="M44" s="5"/>
      <c r="N44" s="5"/>
      <c r="O44" s="5">
        <v>3600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2"/>
        <v>13800</v>
      </c>
      <c r="AC44" s="7">
        <f t="shared" si="3"/>
        <v>0</v>
      </c>
    </row>
    <row r="45" spans="2:29">
      <c r="B45" s="17">
        <v>45805</v>
      </c>
      <c r="C45" s="14" t="s">
        <v>581</v>
      </c>
      <c r="D45" s="23" t="s">
        <v>582</v>
      </c>
      <c r="E45" s="18">
        <v>389257.75</v>
      </c>
      <c r="F45" s="18">
        <f t="shared" si="6"/>
        <v>50772.75</v>
      </c>
      <c r="G45" s="18">
        <f t="shared" si="1"/>
        <v>338485</v>
      </c>
      <c r="H45" s="7">
        <f t="shared" si="4"/>
        <v>86625</v>
      </c>
      <c r="I45" s="5">
        <v>173250</v>
      </c>
      <c r="J45" s="5">
        <v>76300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>
        <v>88935</v>
      </c>
      <c r="V45" s="5"/>
      <c r="W45" s="5"/>
      <c r="X45" s="5"/>
      <c r="Y45" s="5"/>
      <c r="Z45" s="5"/>
      <c r="AA45" s="5">
        <f t="shared" si="2"/>
        <v>338485</v>
      </c>
      <c r="AC45" s="7">
        <f t="shared" si="3"/>
        <v>0</v>
      </c>
    </row>
    <row r="46" spans="2:29">
      <c r="B46" s="17">
        <v>45805</v>
      </c>
      <c r="C46" s="14" t="s">
        <v>581</v>
      </c>
      <c r="D46" s="23" t="s">
        <v>583</v>
      </c>
      <c r="E46" s="18">
        <v>117834.75</v>
      </c>
      <c r="F46" s="18">
        <f t="shared" si="6"/>
        <v>15369.75</v>
      </c>
      <c r="G46" s="18">
        <f t="shared" si="1"/>
        <v>102465</v>
      </c>
      <c r="H46" s="7">
        <f t="shared" si="4"/>
        <v>1375</v>
      </c>
      <c r="I46" s="5">
        <v>2750</v>
      </c>
      <c r="J46" s="5">
        <v>10780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88935</v>
      </c>
      <c r="V46" s="5"/>
      <c r="W46" s="5"/>
      <c r="X46" s="5"/>
      <c r="Y46" s="5"/>
      <c r="Z46" s="5"/>
      <c r="AA46" s="5">
        <f t="shared" si="2"/>
        <v>102465</v>
      </c>
      <c r="AC46" s="7">
        <f t="shared" si="3"/>
        <v>0</v>
      </c>
    </row>
    <row r="47" spans="2:29">
      <c r="B47" s="17">
        <v>45805</v>
      </c>
      <c r="C47" s="14" t="s">
        <v>220</v>
      </c>
      <c r="D47" s="23" t="s">
        <v>584</v>
      </c>
      <c r="E47" s="18">
        <v>380186.55</v>
      </c>
      <c r="F47" s="18">
        <f t="shared" ref="F47" si="7">E47*15/115</f>
        <v>49589.55</v>
      </c>
      <c r="G47" s="18">
        <f t="shared" ref="G47" si="8">E47-F47</f>
        <v>330597</v>
      </c>
      <c r="H47" s="7">
        <f t="shared" si="4"/>
        <v>33000</v>
      </c>
      <c r="I47" s="5">
        <v>66000</v>
      </c>
      <c r="J47" s="5"/>
      <c r="K47" s="5">
        <v>32775</v>
      </c>
      <c r="L47" s="5"/>
      <c r="M47" s="5"/>
      <c r="N47" s="5"/>
      <c r="O47" s="5"/>
      <c r="P47" s="5"/>
      <c r="Q47" s="5"/>
      <c r="R47" s="5"/>
      <c r="S47" s="5">
        <v>6822</v>
      </c>
      <c r="T47" s="5">
        <v>38000</v>
      </c>
      <c r="U47" s="5"/>
      <c r="V47" s="5"/>
      <c r="W47" s="5">
        <v>187000</v>
      </c>
      <c r="X47" s="5"/>
      <c r="Y47" s="5"/>
      <c r="Z47" s="5"/>
      <c r="AA47" s="5">
        <f t="shared" si="2"/>
        <v>330597</v>
      </c>
      <c r="AC47" s="7">
        <f t="shared" si="3"/>
        <v>0</v>
      </c>
    </row>
    <row r="48" spans="2:29">
      <c r="B48" s="17">
        <v>45805</v>
      </c>
      <c r="C48" s="14" t="s">
        <v>220</v>
      </c>
      <c r="D48" s="23" t="s">
        <v>585</v>
      </c>
      <c r="E48" s="18">
        <v>53590</v>
      </c>
      <c r="F48" s="18">
        <f t="shared" ref="F48" si="9">E48*15/115</f>
        <v>6990</v>
      </c>
      <c r="G48" s="18">
        <f t="shared" ref="G48" si="10">E48-F48</f>
        <v>46600</v>
      </c>
      <c r="H48" s="7">
        <f t="shared" si="4"/>
        <v>11500</v>
      </c>
      <c r="I48" s="5">
        <v>23000</v>
      </c>
      <c r="J48" s="5"/>
      <c r="K48" s="5"/>
      <c r="L48" s="5"/>
      <c r="M48" s="5"/>
      <c r="N48" s="5"/>
      <c r="O48" s="5"/>
      <c r="P48" s="5"/>
      <c r="Q48" s="5"/>
      <c r="R48" s="5"/>
      <c r="S48" s="5">
        <v>2700</v>
      </c>
      <c r="T48" s="5">
        <v>20900</v>
      </c>
      <c r="U48" s="5"/>
      <c r="V48" s="5"/>
      <c r="W48" s="5"/>
      <c r="X48" s="5"/>
      <c r="Y48" s="5"/>
      <c r="Z48" s="5"/>
      <c r="AA48" s="5">
        <f t="shared" si="2"/>
        <v>46600</v>
      </c>
      <c r="AC48" s="7">
        <f t="shared" si="3"/>
        <v>0</v>
      </c>
    </row>
    <row r="49" spans="2:30">
      <c r="B49" s="17">
        <v>45805</v>
      </c>
      <c r="C49" s="14" t="s">
        <v>295</v>
      </c>
      <c r="D49" s="23" t="s">
        <v>586</v>
      </c>
      <c r="E49" s="26">
        <v>301411.09000000003</v>
      </c>
      <c r="F49" s="18">
        <f t="shared" ref="F49" si="11">E49*15/115</f>
        <v>39314.490000000005</v>
      </c>
      <c r="G49" s="18">
        <f t="shared" ref="G49" si="12">E49-F49</f>
        <v>262096.60000000003</v>
      </c>
      <c r="H49" s="7">
        <f t="shared" si="4"/>
        <v>50000</v>
      </c>
      <c r="I49" s="5">
        <v>100000</v>
      </c>
      <c r="J49" s="5"/>
      <c r="K49" s="5"/>
      <c r="L49" s="5">
        <v>73980</v>
      </c>
      <c r="M49" s="5"/>
      <c r="N49" s="5"/>
      <c r="O49" s="5">
        <v>88110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6.6</v>
      </c>
      <c r="AA49" s="5">
        <f t="shared" si="2"/>
        <v>262096.6</v>
      </c>
      <c r="AC49" s="7">
        <f t="shared" si="3"/>
        <v>0</v>
      </c>
    </row>
    <row r="50" spans="2:30">
      <c r="B50" s="17">
        <v>45805</v>
      </c>
      <c r="C50" s="14" t="s">
        <v>220</v>
      </c>
      <c r="D50" s="23" t="s">
        <v>587</v>
      </c>
      <c r="E50" s="26">
        <v>94297.7</v>
      </c>
      <c r="F50" s="18">
        <f t="shared" ref="F50:F52" si="13">E50*15/115</f>
        <v>12299.7</v>
      </c>
      <c r="G50" s="18">
        <f t="shared" ref="G50:G53" si="14">E50-F50</f>
        <v>81998</v>
      </c>
      <c r="H50" s="7">
        <f t="shared" si="4"/>
        <v>19000</v>
      </c>
      <c r="I50" s="5">
        <v>38000</v>
      </c>
      <c r="J50" s="5"/>
      <c r="K50" s="5">
        <v>43548</v>
      </c>
      <c r="L50" s="5"/>
      <c r="M50" s="5"/>
      <c r="N50" s="5"/>
      <c r="O50" s="5"/>
      <c r="P50" s="5"/>
      <c r="Q50" s="5"/>
      <c r="R50" s="5"/>
      <c r="S50" s="5">
        <v>450</v>
      </c>
      <c r="T50" s="5"/>
      <c r="U50" s="5"/>
      <c r="V50" s="5"/>
      <c r="W50" s="5"/>
      <c r="X50" s="5"/>
      <c r="Y50" s="5"/>
      <c r="Z50" s="5"/>
      <c r="AA50" s="5">
        <f t="shared" si="2"/>
        <v>81998</v>
      </c>
      <c r="AC50" s="7">
        <f t="shared" si="3"/>
        <v>0</v>
      </c>
    </row>
    <row r="51" spans="2:30">
      <c r="B51" s="17">
        <v>45805</v>
      </c>
      <c r="C51" s="14" t="s">
        <v>588</v>
      </c>
      <c r="D51" s="23" t="s">
        <v>589</v>
      </c>
      <c r="E51" s="26">
        <v>0</v>
      </c>
      <c r="F51" s="18">
        <f t="shared" si="13"/>
        <v>0</v>
      </c>
      <c r="G51" s="18">
        <f t="shared" si="14"/>
        <v>0</v>
      </c>
      <c r="H51" s="7">
        <f t="shared" si="4"/>
        <v>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>
        <f t="shared" ref="AA51:AA53" si="15">SUM(I51:Z51)</f>
        <v>0</v>
      </c>
      <c r="AC51" s="7">
        <f t="shared" ref="AC51:AC53" si="16">G51-AA51</f>
        <v>0</v>
      </c>
    </row>
    <row r="52" spans="2:30">
      <c r="B52" s="17">
        <v>45805</v>
      </c>
      <c r="C52" s="14" t="s">
        <v>590</v>
      </c>
      <c r="D52" s="23" t="s">
        <v>591</v>
      </c>
      <c r="E52" s="26">
        <v>49852.5</v>
      </c>
      <c r="F52" s="18">
        <f t="shared" si="13"/>
        <v>6502.5</v>
      </c>
      <c r="G52" s="18">
        <f t="shared" si="14"/>
        <v>43350</v>
      </c>
      <c r="H52" s="7">
        <f t="shared" si="4"/>
        <v>18000</v>
      </c>
      <c r="I52" s="5">
        <v>36000</v>
      </c>
      <c r="J52" s="5"/>
      <c r="K52" s="5"/>
      <c r="L52" s="5">
        <v>7350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f t="shared" si="15"/>
        <v>43350</v>
      </c>
      <c r="AC52" s="7">
        <f t="shared" si="16"/>
        <v>0</v>
      </c>
    </row>
    <row r="53" spans="2:30">
      <c r="B53" s="17">
        <v>45805</v>
      </c>
      <c r="C53" s="14" t="s">
        <v>592</v>
      </c>
      <c r="D53" s="23" t="s">
        <v>593</v>
      </c>
      <c r="E53" s="18">
        <v>30525</v>
      </c>
      <c r="F53" s="18">
        <v>0</v>
      </c>
      <c r="G53" s="18">
        <f t="shared" si="14"/>
        <v>30525</v>
      </c>
      <c r="H53" s="7">
        <f t="shared" si="4"/>
        <v>0</v>
      </c>
      <c r="I53" s="5"/>
      <c r="J53" s="5"/>
      <c r="K53" s="5"/>
      <c r="L53" s="5"/>
      <c r="M53" s="5"/>
      <c r="N53" s="5"/>
      <c r="O53" s="5"/>
      <c r="P53" s="5"/>
      <c r="Q53" s="5">
        <v>30525</v>
      </c>
      <c r="R53" s="5"/>
      <c r="S53" s="5"/>
      <c r="T53" s="5"/>
      <c r="U53" s="5"/>
      <c r="V53" s="5"/>
      <c r="W53" s="5"/>
      <c r="X53" s="5"/>
      <c r="Y53" s="5"/>
      <c r="Z53" s="5"/>
      <c r="AA53" s="5">
        <f t="shared" si="15"/>
        <v>30525</v>
      </c>
      <c r="AC53" s="7">
        <f t="shared" si="16"/>
        <v>0</v>
      </c>
    </row>
    <row r="54" spans="2:30">
      <c r="B54" s="17">
        <v>45805</v>
      </c>
      <c r="C54" s="14" t="s">
        <v>594</v>
      </c>
      <c r="D54" s="23"/>
      <c r="E54" s="18">
        <v>163649.76999999999</v>
      </c>
      <c r="F54" s="18"/>
      <c r="G54" s="18">
        <v>163649.76999999999</v>
      </c>
      <c r="H54" s="7"/>
      <c r="I54" s="5"/>
      <c r="J54" s="5">
        <v>130918.94</v>
      </c>
      <c r="K54" s="5">
        <v>25575</v>
      </c>
      <c r="L54" s="5"/>
      <c r="M54" s="5"/>
      <c r="N54" s="5"/>
      <c r="O54" s="5"/>
      <c r="P54" s="5"/>
      <c r="Q54" s="5"/>
      <c r="R54" s="5"/>
      <c r="S54" s="5"/>
      <c r="T54" s="5">
        <v>7155.83</v>
      </c>
      <c r="U54" s="5"/>
      <c r="V54" s="5"/>
      <c r="W54" s="5"/>
      <c r="X54" s="5"/>
      <c r="Y54" s="5"/>
      <c r="Z54" s="5"/>
      <c r="AA54" s="5">
        <f t="shared" ref="AA54" si="17">SUM(I54:Z54)</f>
        <v>163649.76999999999</v>
      </c>
      <c r="AC54" s="7">
        <f t="shared" ref="AC54" si="18">G54-AA54</f>
        <v>0</v>
      </c>
    </row>
    <row r="55" spans="2:30" ht="12" thickBot="1">
      <c r="E55" s="8">
        <f t="shared" ref="E55:F55" si="19">SUM(E8:E54)</f>
        <v>4452086.8199999994</v>
      </c>
      <c r="F55" s="8">
        <f t="shared" si="19"/>
        <v>555379.83260869572</v>
      </c>
      <c r="G55" s="8">
        <f>SUM(G8:G54)</f>
        <v>3896706.9873913047</v>
      </c>
      <c r="H55" s="8">
        <f t="shared" ref="H55:AD55" si="20">SUM(H8:H54)</f>
        <v>355714.47</v>
      </c>
      <c r="I55" s="8">
        <f t="shared" si="20"/>
        <v>711428.94</v>
      </c>
      <c r="J55" s="8">
        <f t="shared" si="20"/>
        <v>393596.21</v>
      </c>
      <c r="K55" s="8">
        <f t="shared" si="20"/>
        <v>158665.93</v>
      </c>
      <c r="L55" s="8">
        <f t="shared" si="20"/>
        <v>151566.85</v>
      </c>
      <c r="M55" s="8">
        <f t="shared" si="20"/>
        <v>138434.74</v>
      </c>
      <c r="N55" s="8">
        <f t="shared" si="20"/>
        <v>112263.74999999999</v>
      </c>
      <c r="O55" s="8">
        <f t="shared" si="20"/>
        <v>110997.99</v>
      </c>
      <c r="P55" s="8">
        <f t="shared" si="20"/>
        <v>0</v>
      </c>
      <c r="Q55" s="8">
        <f t="shared" si="20"/>
        <v>388232.94999999995</v>
      </c>
      <c r="R55" s="8">
        <f t="shared" si="20"/>
        <v>91980</v>
      </c>
      <c r="S55" s="8">
        <f t="shared" si="20"/>
        <v>30483.45</v>
      </c>
      <c r="T55" s="8">
        <f t="shared" si="20"/>
        <v>69855.83</v>
      </c>
      <c r="U55" s="8">
        <f t="shared" si="20"/>
        <v>177870</v>
      </c>
      <c r="V55" s="8">
        <f t="shared" si="20"/>
        <v>0</v>
      </c>
      <c r="W55" s="8">
        <f t="shared" si="20"/>
        <v>187000</v>
      </c>
      <c r="X55" s="8">
        <f t="shared" si="20"/>
        <v>0</v>
      </c>
      <c r="Y55" s="8">
        <f t="shared" si="20"/>
        <v>1165397</v>
      </c>
      <c r="Z55" s="8">
        <f t="shared" si="20"/>
        <v>8933.36</v>
      </c>
      <c r="AA55" s="8">
        <f t="shared" si="20"/>
        <v>3896707</v>
      </c>
      <c r="AB55" s="8">
        <f t="shared" si="20"/>
        <v>0</v>
      </c>
      <c r="AC55" s="8">
        <f t="shared" si="20"/>
        <v>-1.2608695637936762E-2</v>
      </c>
      <c r="AD55" s="8">
        <f t="shared" si="20"/>
        <v>0</v>
      </c>
    </row>
    <row r="56" spans="2:30" ht="12" thickTop="1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2:30" ht="12.75" thickBot="1">
      <c r="G57" s="1" t="s">
        <v>63</v>
      </c>
      <c r="H57" s="8">
        <f>(I55/2)-H55</f>
        <v>0</v>
      </c>
      <c r="I57" s="5">
        <f>I55/2</f>
        <v>355714.47</v>
      </c>
      <c r="J57" s="5"/>
      <c r="K57" s="71" t="s">
        <v>170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30" ht="12" thickTop="1"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30">
      <c r="I59" s="5"/>
      <c r="J59" s="5"/>
      <c r="K59" s="5" t="s">
        <v>446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30">
      <c r="I60" s="5"/>
      <c r="J60" s="5"/>
      <c r="K60" s="5" t="s">
        <v>447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30">
      <c r="I61" s="20"/>
      <c r="J61" s="5"/>
      <c r="K61" s="5" t="s">
        <v>170</v>
      </c>
      <c r="L61" s="5">
        <v>3470858.23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30">
      <c r="I62" s="20"/>
      <c r="J62" s="20"/>
      <c r="K62" s="5" t="s">
        <v>448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30">
      <c r="I63" s="2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30" ht="12" thickBot="1">
      <c r="I64" s="20"/>
      <c r="K64" s="5" t="s">
        <v>63</v>
      </c>
      <c r="L64" s="8">
        <f>L61-SUM(I55:X55)</f>
        <v>748481.58999999985</v>
      </c>
    </row>
    <row r="65" spans="9:9" ht="12" thickTop="1">
      <c r="I65" s="20"/>
    </row>
    <row r="66" spans="9:9">
      <c r="I66" s="7"/>
    </row>
    <row r="67" spans="9:9">
      <c r="I67" s="51">
        <v>1400891.8000000003</v>
      </c>
    </row>
    <row r="68" spans="9:9">
      <c r="I68" s="7"/>
    </row>
    <row r="70" spans="9:9">
      <c r="I70" s="7"/>
    </row>
  </sheetData>
  <mergeCells count="1">
    <mergeCell ref="I5:A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DF2E-B786-4C56-BD5B-E186B9F2A6A3}">
  <dimension ref="B2:AG59"/>
  <sheetViews>
    <sheetView zoomScale="80" zoomScaleNormal="80" workbookViewId="0">
      <pane xSplit="11" ySplit="4" topLeftCell="L38" activePane="bottomRight" state="frozen"/>
      <selection pane="bottomRight" activeCell="G58" sqref="G58:AG58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2.140625" style="1" bestFit="1" customWidth="1"/>
    <col min="3" max="3" width="13.28515625" style="1" bestFit="1" customWidth="1"/>
    <col min="4" max="4" width="8.7109375" style="1"/>
    <col min="5" max="5" width="13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customWidth="1"/>
    <col min="13" max="13" width="8.7109375" style="1" customWidth="1"/>
    <col min="14" max="14" width="15.28515625" style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9" width="18.5703125" style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1.140625" style="1" bestFit="1" customWidth="1"/>
    <col min="34" max="16384" width="8.7109375" style="1"/>
  </cols>
  <sheetData>
    <row r="2" spans="2:33" ht="15.75">
      <c r="B2" s="2" t="s">
        <v>595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B6" s="1" t="s">
        <v>341</v>
      </c>
      <c r="C6" s="1" t="s">
        <v>240</v>
      </c>
      <c r="D6" s="1" t="s">
        <v>342</v>
      </c>
      <c r="E6" s="1" t="s">
        <v>343</v>
      </c>
      <c r="F6" s="1">
        <v>13000</v>
      </c>
      <c r="G6" s="5">
        <f t="shared" ref="G6:G56" si="0">F6*15/115</f>
        <v>1695.6521739130435</v>
      </c>
      <c r="H6" s="5">
        <f t="shared" ref="H6:H56" si="1">F6-G6</f>
        <v>11304.347826086956</v>
      </c>
      <c r="J6" s="6" t="s">
        <v>596</v>
      </c>
      <c r="K6" s="5">
        <v>13000</v>
      </c>
      <c r="L6" s="7"/>
      <c r="N6" s="5"/>
      <c r="O6" s="5"/>
      <c r="P6" s="5"/>
      <c r="Q6" s="5"/>
      <c r="R6" s="5"/>
      <c r="S6" s="5"/>
      <c r="T6" s="5"/>
      <c r="U6" s="5"/>
      <c r="V6" s="5">
        <v>11304.35</v>
      </c>
      <c r="W6" s="5"/>
      <c r="X6" s="5"/>
      <c r="Y6" s="5"/>
      <c r="Z6" s="5"/>
      <c r="AA6" s="5"/>
      <c r="AB6" s="5"/>
      <c r="AC6" s="5"/>
      <c r="AD6" s="5"/>
      <c r="AE6" s="5">
        <f t="shared" ref="AE6:AE55" si="2">SUM(N6:AD6)</f>
        <v>11304.35</v>
      </c>
      <c r="AF6" s="5"/>
      <c r="AG6" s="5">
        <f t="shared" ref="AG6:AG13" si="3">H6-AE6</f>
        <v>-2.1739130443165777E-3</v>
      </c>
    </row>
    <row r="7" spans="2:33">
      <c r="B7" s="1" t="s">
        <v>243</v>
      </c>
      <c r="C7" s="6" t="s">
        <v>359</v>
      </c>
      <c r="D7" s="1" t="s">
        <v>350</v>
      </c>
      <c r="E7" s="1" t="s">
        <v>420</v>
      </c>
      <c r="F7" s="19">
        <v>1429800.24</v>
      </c>
      <c r="G7" s="5">
        <f t="shared" si="0"/>
        <v>186495.68347826088</v>
      </c>
      <c r="H7" s="5">
        <f t="shared" si="1"/>
        <v>1243304.5565217391</v>
      </c>
      <c r="J7" s="6" t="s">
        <v>597</v>
      </c>
      <c r="K7" s="5">
        <v>1429800.24</v>
      </c>
      <c r="L7" s="7"/>
      <c r="N7" s="5">
        <v>453807.42</v>
      </c>
      <c r="O7" s="5">
        <v>165515.17000000001</v>
      </c>
      <c r="P7" s="5">
        <v>192269.32</v>
      </c>
      <c r="Q7" s="5"/>
      <c r="R7" s="5">
        <v>210056.91</v>
      </c>
      <c r="S7" s="5">
        <v>111986.88</v>
      </c>
      <c r="T7" s="5"/>
      <c r="U7" s="5">
        <v>83194.960000000006</v>
      </c>
      <c r="V7" s="5"/>
      <c r="W7" s="5"/>
      <c r="X7" s="5"/>
      <c r="Y7" s="5"/>
      <c r="Z7" s="5"/>
      <c r="AA7" s="5"/>
      <c r="AB7" s="5"/>
      <c r="AC7" s="5"/>
      <c r="AD7" s="5">
        <v>26473.9</v>
      </c>
      <c r="AE7" s="5">
        <f t="shared" si="2"/>
        <v>1243304.5599999998</v>
      </c>
      <c r="AF7" s="5"/>
      <c r="AG7" s="5">
        <f t="shared" si="3"/>
        <v>-3.4782607108354568E-3</v>
      </c>
    </row>
    <row r="8" spans="2:33">
      <c r="B8" s="1" t="s">
        <v>243</v>
      </c>
      <c r="C8" s="6" t="s">
        <v>359</v>
      </c>
      <c r="D8" s="1" t="s">
        <v>350</v>
      </c>
      <c r="E8" s="1" t="s">
        <v>444</v>
      </c>
      <c r="F8" s="19">
        <v>53590</v>
      </c>
      <c r="G8" s="5">
        <f t="shared" si="0"/>
        <v>6990</v>
      </c>
      <c r="H8" s="5">
        <f t="shared" si="1"/>
        <v>46600</v>
      </c>
      <c r="J8" s="6" t="s">
        <v>597</v>
      </c>
      <c r="K8" s="5">
        <v>53590</v>
      </c>
      <c r="L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v>46600</v>
      </c>
      <c r="AD8" s="5"/>
      <c r="AE8" s="5">
        <f t="shared" si="2"/>
        <v>46600</v>
      </c>
      <c r="AF8" s="5"/>
      <c r="AG8" s="5">
        <f t="shared" si="3"/>
        <v>0</v>
      </c>
    </row>
    <row r="9" spans="2:33">
      <c r="B9" s="1" t="s">
        <v>243</v>
      </c>
      <c r="C9" s="6" t="s">
        <v>598</v>
      </c>
      <c r="D9" s="1" t="s">
        <v>599</v>
      </c>
      <c r="E9" s="1" t="s">
        <v>600</v>
      </c>
      <c r="F9" s="19">
        <v>25300</v>
      </c>
      <c r="G9" s="5">
        <f t="shared" si="0"/>
        <v>3300</v>
      </c>
      <c r="H9" s="5">
        <f t="shared" si="1"/>
        <v>22000</v>
      </c>
      <c r="J9" s="6" t="s">
        <v>601</v>
      </c>
      <c r="K9" s="5">
        <v>25300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22000</v>
      </c>
      <c r="AD9" s="5"/>
      <c r="AE9" s="5">
        <f t="shared" si="2"/>
        <v>22000</v>
      </c>
      <c r="AF9" s="5"/>
      <c r="AG9" s="5">
        <f t="shared" si="3"/>
        <v>0</v>
      </c>
    </row>
    <row r="10" spans="2:33">
      <c r="B10" s="1" t="s">
        <v>243</v>
      </c>
      <c r="C10" s="6" t="s">
        <v>598</v>
      </c>
      <c r="D10" s="1" t="s">
        <v>350</v>
      </c>
      <c r="E10" s="1" t="s">
        <v>602</v>
      </c>
      <c r="F10" s="19">
        <v>43125</v>
      </c>
      <c r="G10" s="5">
        <f t="shared" si="0"/>
        <v>5625</v>
      </c>
      <c r="H10" s="5">
        <f t="shared" si="1"/>
        <v>37500</v>
      </c>
      <c r="J10" s="6" t="s">
        <v>601</v>
      </c>
      <c r="K10" s="5">
        <v>43125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>
        <v>37500</v>
      </c>
      <c r="AD10" s="5"/>
      <c r="AE10" s="5">
        <f t="shared" si="2"/>
        <v>37500</v>
      </c>
      <c r="AF10" s="5"/>
      <c r="AG10" s="5">
        <f t="shared" si="3"/>
        <v>0</v>
      </c>
    </row>
    <row r="11" spans="2:33">
      <c r="B11" s="1" t="s">
        <v>243</v>
      </c>
      <c r="C11" s="6" t="s">
        <v>603</v>
      </c>
      <c r="D11" s="1" t="s">
        <v>350</v>
      </c>
      <c r="E11" s="1" t="s">
        <v>604</v>
      </c>
      <c r="F11" s="19">
        <v>728253.61</v>
      </c>
      <c r="G11" s="5">
        <f t="shared" si="0"/>
        <v>94989.601304347831</v>
      </c>
      <c r="H11" s="5">
        <f t="shared" si="1"/>
        <v>633264.00869565213</v>
      </c>
      <c r="J11" s="6" t="s">
        <v>601</v>
      </c>
      <c r="K11" s="5">
        <v>728253.61</v>
      </c>
      <c r="N11" s="5">
        <v>199016.4</v>
      </c>
      <c r="O11" s="5">
        <v>171424.94</v>
      </c>
      <c r="P11" s="5">
        <v>111139.34</v>
      </c>
      <c r="Q11" s="5"/>
      <c r="R11" s="5"/>
      <c r="S11" s="5">
        <v>76453.77</v>
      </c>
      <c r="T11" s="5"/>
      <c r="U11" s="5"/>
      <c r="V11" s="5"/>
      <c r="W11" s="5"/>
      <c r="X11" s="5"/>
      <c r="Y11" s="5"/>
      <c r="Z11" s="5"/>
      <c r="AA11" s="5">
        <v>75229.56</v>
      </c>
      <c r="AB11" s="5"/>
      <c r="AC11" s="5"/>
      <c r="AD11" s="5"/>
      <c r="AE11" s="5">
        <f t="shared" si="2"/>
        <v>633264.01</v>
      </c>
      <c r="AF11" s="5"/>
      <c r="AG11" s="5">
        <f t="shared" si="3"/>
        <v>-1.3043478829786181E-3</v>
      </c>
    </row>
    <row r="12" spans="2:33">
      <c r="B12" s="1" t="s">
        <v>210</v>
      </c>
      <c r="C12" s="6" t="s">
        <v>605</v>
      </c>
      <c r="D12" s="1" t="s">
        <v>606</v>
      </c>
      <c r="E12" s="1" t="s">
        <v>607</v>
      </c>
      <c r="F12" s="19">
        <v>632.5</v>
      </c>
      <c r="G12" s="5">
        <f t="shared" si="0"/>
        <v>82.5</v>
      </c>
      <c r="H12" s="5">
        <f t="shared" si="1"/>
        <v>550</v>
      </c>
      <c r="J12" s="6" t="s">
        <v>608</v>
      </c>
      <c r="K12" s="5">
        <v>632.5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550</v>
      </c>
      <c r="AD12" s="5"/>
      <c r="AE12" s="5">
        <f t="shared" si="2"/>
        <v>550</v>
      </c>
      <c r="AF12" s="5"/>
      <c r="AG12" s="5">
        <f t="shared" si="3"/>
        <v>0</v>
      </c>
    </row>
    <row r="13" spans="2:33">
      <c r="B13" s="1" t="s">
        <v>210</v>
      </c>
      <c r="C13" s="6" t="s">
        <v>605</v>
      </c>
      <c r="D13" s="1" t="s">
        <v>606</v>
      </c>
      <c r="E13" s="1" t="s">
        <v>609</v>
      </c>
      <c r="F13" s="19">
        <v>1265</v>
      </c>
      <c r="G13" s="5">
        <f t="shared" si="0"/>
        <v>165</v>
      </c>
      <c r="H13" s="5">
        <f t="shared" si="1"/>
        <v>1100</v>
      </c>
      <c r="J13" s="6" t="s">
        <v>608</v>
      </c>
      <c r="K13" s="5">
        <v>1265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>
        <v>1100</v>
      </c>
      <c r="AD13" s="5"/>
      <c r="AE13" s="5">
        <f t="shared" si="2"/>
        <v>1100</v>
      </c>
      <c r="AF13" s="5"/>
      <c r="AG13" s="5">
        <f t="shared" si="3"/>
        <v>0</v>
      </c>
    </row>
    <row r="14" spans="2:33">
      <c r="B14" s="1" t="s">
        <v>210</v>
      </c>
      <c r="C14" s="6" t="s">
        <v>244</v>
      </c>
      <c r="D14" s="1" t="s">
        <v>610</v>
      </c>
      <c r="E14" s="1" t="s">
        <v>611</v>
      </c>
      <c r="F14" s="19">
        <v>46409.4</v>
      </c>
      <c r="G14" s="5">
        <f t="shared" si="0"/>
        <v>6053.4</v>
      </c>
      <c r="H14" s="5">
        <f t="shared" si="1"/>
        <v>40356</v>
      </c>
      <c r="J14" s="6" t="s">
        <v>608</v>
      </c>
      <c r="K14" s="5">
        <v>46409.4</v>
      </c>
      <c r="N14" s="5"/>
      <c r="O14" s="5">
        <v>30512.07</v>
      </c>
      <c r="P14" s="5"/>
      <c r="Q14" s="5"/>
      <c r="R14" s="5"/>
      <c r="S14" s="5">
        <v>9843.93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40356</v>
      </c>
      <c r="AF14" s="5"/>
      <c r="AG14" s="5"/>
    </row>
    <row r="15" spans="2:33">
      <c r="B15" s="1" t="s">
        <v>210</v>
      </c>
      <c r="C15" s="6" t="s">
        <v>206</v>
      </c>
      <c r="D15" s="1" t="s">
        <v>610</v>
      </c>
      <c r="E15" s="1" t="s">
        <v>612</v>
      </c>
      <c r="F15" s="19">
        <v>22108.880000000001</v>
      </c>
      <c r="G15" s="5">
        <f t="shared" si="0"/>
        <v>2883.7669565217393</v>
      </c>
      <c r="H15" s="5">
        <f t="shared" si="1"/>
        <v>19225.113043478261</v>
      </c>
      <c r="J15" s="6" t="s">
        <v>608</v>
      </c>
      <c r="K15" s="5">
        <v>22108.880000000001</v>
      </c>
      <c r="N15" s="5"/>
      <c r="O15" s="5">
        <v>16096.64</v>
      </c>
      <c r="P15" s="5"/>
      <c r="Q15" s="5"/>
      <c r="R15" s="5"/>
      <c r="S15" s="5">
        <v>3128.47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19225.11</v>
      </c>
      <c r="AF15" s="5"/>
      <c r="AG15" s="5">
        <f t="shared" ref="AG15:AG57" si="4">H15-AE15</f>
        <v>3.0434782602242194E-3</v>
      </c>
    </row>
    <row r="16" spans="2:33">
      <c r="B16" s="1" t="s">
        <v>210</v>
      </c>
      <c r="C16" s="6" t="s">
        <v>218</v>
      </c>
      <c r="D16" s="1" t="s">
        <v>610</v>
      </c>
      <c r="E16" s="1" t="s">
        <v>613</v>
      </c>
      <c r="F16" s="19">
        <v>14391.07</v>
      </c>
      <c r="G16" s="5">
        <f t="shared" si="0"/>
        <v>1877.0960869565217</v>
      </c>
      <c r="H16" s="5">
        <f t="shared" si="1"/>
        <v>12513.973913043477</v>
      </c>
      <c r="J16" s="6" t="s">
        <v>608</v>
      </c>
      <c r="K16" s="5">
        <v>14391.07</v>
      </c>
      <c r="L16" s="7"/>
      <c r="N16" s="5"/>
      <c r="O16" s="5">
        <v>5601.63</v>
      </c>
      <c r="P16" s="5"/>
      <c r="Q16" s="5"/>
      <c r="R16" s="5"/>
      <c r="S16" s="5">
        <v>6912.34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12513.970000000001</v>
      </c>
      <c r="AF16" s="5"/>
      <c r="AG16" s="5">
        <f t="shared" si="4"/>
        <v>3.9130434761318611E-3</v>
      </c>
    </row>
    <row r="17" spans="2:33">
      <c r="B17" s="1" t="s">
        <v>614</v>
      </c>
      <c r="C17" s="6" t="s">
        <v>615</v>
      </c>
      <c r="D17" s="1" t="s">
        <v>616</v>
      </c>
      <c r="E17" s="1" t="s">
        <v>528</v>
      </c>
      <c r="F17" s="19">
        <v>18400</v>
      </c>
      <c r="G17" s="5">
        <f t="shared" si="0"/>
        <v>2400</v>
      </c>
      <c r="H17" s="5">
        <f t="shared" si="1"/>
        <v>16000</v>
      </c>
      <c r="J17" s="6" t="s">
        <v>617</v>
      </c>
      <c r="K17" s="5">
        <v>18400</v>
      </c>
      <c r="N17" s="5"/>
      <c r="O17" s="5"/>
      <c r="P17" s="5"/>
      <c r="Q17" s="5"/>
      <c r="R17" s="5">
        <v>16000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16000</v>
      </c>
      <c r="AF17" s="5"/>
      <c r="AG17" s="5">
        <f t="shared" si="4"/>
        <v>0</v>
      </c>
    </row>
    <row r="18" spans="2:33">
      <c r="B18" s="1" t="s">
        <v>243</v>
      </c>
      <c r="C18" s="6" t="s">
        <v>618</v>
      </c>
      <c r="D18" s="1" t="s">
        <v>350</v>
      </c>
      <c r="E18" s="1" t="s">
        <v>406</v>
      </c>
      <c r="F18" s="19">
        <v>207000</v>
      </c>
      <c r="G18" s="5">
        <f t="shared" si="0"/>
        <v>27000</v>
      </c>
      <c r="H18" s="5">
        <f t="shared" si="1"/>
        <v>180000</v>
      </c>
      <c r="J18" s="6" t="s">
        <v>619</v>
      </c>
      <c r="K18" s="5">
        <v>207000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180000</v>
      </c>
      <c r="AD18" s="5"/>
      <c r="AE18" s="5">
        <f t="shared" si="2"/>
        <v>180000</v>
      </c>
      <c r="AF18" s="5"/>
      <c r="AG18" s="5">
        <f t="shared" si="4"/>
        <v>0</v>
      </c>
    </row>
    <row r="19" spans="2:33">
      <c r="B19" s="1" t="s">
        <v>243</v>
      </c>
      <c r="C19" s="6" t="s">
        <v>359</v>
      </c>
      <c r="D19" s="1" t="s">
        <v>350</v>
      </c>
      <c r="E19" s="1" t="s">
        <v>445</v>
      </c>
      <c r="F19" s="19">
        <v>729675</v>
      </c>
      <c r="G19" s="5">
        <f t="shared" si="0"/>
        <v>95175</v>
      </c>
      <c r="H19" s="5">
        <f t="shared" si="1"/>
        <v>634500</v>
      </c>
      <c r="J19" s="6" t="s">
        <v>619</v>
      </c>
      <c r="K19" s="5">
        <v>729675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>
        <v>634500</v>
      </c>
      <c r="AD19" s="5"/>
      <c r="AE19" s="5">
        <f t="shared" si="2"/>
        <v>634500</v>
      </c>
      <c r="AF19" s="5"/>
      <c r="AG19" s="5">
        <f t="shared" si="4"/>
        <v>0</v>
      </c>
    </row>
    <row r="20" spans="2:33">
      <c r="B20" s="1" t="s">
        <v>243</v>
      </c>
      <c r="C20" s="6" t="s">
        <v>359</v>
      </c>
      <c r="D20" s="1" t="s">
        <v>350</v>
      </c>
      <c r="E20" s="1" t="s">
        <v>485</v>
      </c>
      <c r="F20" s="19">
        <v>958237.5</v>
      </c>
      <c r="G20" s="5">
        <f t="shared" si="0"/>
        <v>124987.5</v>
      </c>
      <c r="H20" s="5">
        <f t="shared" si="1"/>
        <v>833250</v>
      </c>
      <c r="J20" s="6" t="s">
        <v>619</v>
      </c>
      <c r="K20" s="5">
        <v>958237.5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>
        <v>833250</v>
      </c>
      <c r="AD20" s="5"/>
      <c r="AE20" s="5">
        <f t="shared" si="2"/>
        <v>833250</v>
      </c>
      <c r="AF20" s="5"/>
      <c r="AG20" s="5">
        <f t="shared" si="4"/>
        <v>0</v>
      </c>
    </row>
    <row r="21" spans="2:33">
      <c r="B21" s="1" t="s">
        <v>269</v>
      </c>
      <c r="C21" s="6" t="s">
        <v>620</v>
      </c>
      <c r="D21" s="1" t="s">
        <v>271</v>
      </c>
      <c r="E21" s="1" t="s">
        <v>621</v>
      </c>
      <c r="F21" s="19">
        <v>11404.91</v>
      </c>
      <c r="G21" s="5">
        <f t="shared" si="0"/>
        <v>1487.596956521739</v>
      </c>
      <c r="H21" s="5">
        <f t="shared" si="1"/>
        <v>9917.3130434782615</v>
      </c>
      <c r="J21" s="6" t="s">
        <v>619</v>
      </c>
      <c r="K21" s="5">
        <v>11404.91</v>
      </c>
      <c r="N21" s="5"/>
      <c r="O21" s="5">
        <v>3058.46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v>6858.85</v>
      </c>
      <c r="AB21" s="5"/>
      <c r="AC21" s="5"/>
      <c r="AD21" s="5"/>
      <c r="AE21" s="5">
        <f t="shared" si="2"/>
        <v>9917.3100000000013</v>
      </c>
      <c r="AF21" s="5"/>
      <c r="AG21" s="5">
        <f t="shared" si="4"/>
        <v>3.0434782602242194E-3</v>
      </c>
    </row>
    <row r="22" spans="2:33">
      <c r="B22" s="1" t="s">
        <v>269</v>
      </c>
      <c r="C22" s="6" t="s">
        <v>620</v>
      </c>
      <c r="D22" s="1" t="s">
        <v>275</v>
      </c>
      <c r="E22" s="1" t="s">
        <v>622</v>
      </c>
      <c r="F22" s="19">
        <v>158952.74</v>
      </c>
      <c r="G22" s="5">
        <f t="shared" si="0"/>
        <v>20732.96608695652</v>
      </c>
      <c r="H22" s="5">
        <f t="shared" si="1"/>
        <v>138219.77391304346</v>
      </c>
      <c r="J22" s="6" t="s">
        <v>619</v>
      </c>
      <c r="K22" s="5">
        <v>158952.74</v>
      </c>
      <c r="L22" s="7"/>
      <c r="N22" s="5"/>
      <c r="O22" s="5">
        <v>126000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v>12219.77</v>
      </c>
      <c r="AB22" s="5"/>
      <c r="AC22" s="5"/>
      <c r="AD22" s="5"/>
      <c r="AE22" s="5">
        <f t="shared" si="2"/>
        <v>138219.76999999999</v>
      </c>
      <c r="AF22" s="5"/>
      <c r="AG22" s="5">
        <f t="shared" si="4"/>
        <v>3.9130434743128717E-3</v>
      </c>
    </row>
    <row r="23" spans="2:33">
      <c r="B23" s="1" t="s">
        <v>269</v>
      </c>
      <c r="C23" s="6" t="s">
        <v>623</v>
      </c>
      <c r="D23" s="1" t="s">
        <v>275</v>
      </c>
      <c r="E23" s="1" t="s">
        <v>624</v>
      </c>
      <c r="F23" s="19">
        <v>32200</v>
      </c>
      <c r="G23" s="5">
        <f t="shared" si="0"/>
        <v>4200</v>
      </c>
      <c r="H23" s="5">
        <f t="shared" si="1"/>
        <v>28000</v>
      </c>
      <c r="J23" s="6" t="s">
        <v>619</v>
      </c>
      <c r="K23" s="5">
        <v>32200</v>
      </c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>
        <v>28000</v>
      </c>
      <c r="AD23" s="5"/>
      <c r="AE23" s="5">
        <f t="shared" si="2"/>
        <v>28000</v>
      </c>
      <c r="AF23" s="5"/>
      <c r="AG23" s="5">
        <f t="shared" si="4"/>
        <v>0</v>
      </c>
    </row>
    <row r="24" spans="2:33">
      <c r="B24" s="1" t="s">
        <v>269</v>
      </c>
      <c r="C24" s="6" t="s">
        <v>603</v>
      </c>
      <c r="D24" s="1" t="s">
        <v>271</v>
      </c>
      <c r="E24" s="1" t="s">
        <v>625</v>
      </c>
      <c r="F24" s="19">
        <v>23438.18</v>
      </c>
      <c r="G24" s="5">
        <f t="shared" si="0"/>
        <v>3057.1539130434785</v>
      </c>
      <c r="H24" s="5">
        <f t="shared" si="1"/>
        <v>20381.026086956521</v>
      </c>
      <c r="J24" s="6" t="s">
        <v>619</v>
      </c>
      <c r="K24" s="5">
        <v>23438.18</v>
      </c>
      <c r="L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20381.03</v>
      </c>
      <c r="AB24" s="5"/>
      <c r="AC24" s="5"/>
      <c r="AD24" s="5"/>
      <c r="AE24" s="5">
        <f t="shared" si="2"/>
        <v>20381.03</v>
      </c>
      <c r="AF24" s="5"/>
      <c r="AG24" s="5">
        <f t="shared" si="4"/>
        <v>-3.9130434779508505E-3</v>
      </c>
    </row>
    <row r="25" spans="2:33">
      <c r="B25" s="1" t="s">
        <v>269</v>
      </c>
      <c r="C25" s="6" t="s">
        <v>603</v>
      </c>
      <c r="D25" s="1" t="s">
        <v>275</v>
      </c>
      <c r="E25" s="1" t="s">
        <v>626</v>
      </c>
      <c r="F25" s="19">
        <v>18680.080000000002</v>
      </c>
      <c r="G25" s="5">
        <f t="shared" si="0"/>
        <v>2436.5321739130436</v>
      </c>
      <c r="H25" s="5">
        <f t="shared" si="1"/>
        <v>16243.547826086959</v>
      </c>
      <c r="J25" s="6" t="s">
        <v>619</v>
      </c>
      <c r="K25" s="5">
        <v>18680.080000000002</v>
      </c>
      <c r="N25" s="5"/>
      <c r="O25" s="5">
        <v>14538.49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v>1705.06</v>
      </c>
      <c r="AB25" s="5"/>
      <c r="AC25" s="5"/>
      <c r="AD25" s="5"/>
      <c r="AE25" s="5">
        <f t="shared" si="2"/>
        <v>16243.55</v>
      </c>
      <c r="AF25" s="5"/>
      <c r="AG25" s="5">
        <f t="shared" si="4"/>
        <v>-2.1739130406785989E-3</v>
      </c>
    </row>
    <row r="26" spans="2:33">
      <c r="B26" s="1" t="s">
        <v>269</v>
      </c>
      <c r="C26" s="6" t="s">
        <v>627</v>
      </c>
      <c r="D26" s="1" t="s">
        <v>271</v>
      </c>
      <c r="E26" s="1" t="s">
        <v>628</v>
      </c>
      <c r="F26" s="19">
        <v>5669.86</v>
      </c>
      <c r="G26" s="5">
        <f t="shared" si="0"/>
        <v>739.54695652173905</v>
      </c>
      <c r="H26" s="5">
        <f t="shared" si="1"/>
        <v>4930.3130434782606</v>
      </c>
      <c r="J26" s="6" t="s">
        <v>619</v>
      </c>
      <c r="K26" s="5">
        <v>5669.86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>
        <v>4930.3100000000004</v>
      </c>
      <c r="AD26" s="5"/>
      <c r="AE26" s="5">
        <f t="shared" si="2"/>
        <v>4930.3100000000004</v>
      </c>
      <c r="AF26" s="5"/>
      <c r="AG26" s="5">
        <f t="shared" si="4"/>
        <v>3.0434782602242194E-3</v>
      </c>
    </row>
    <row r="27" spans="2:33">
      <c r="B27" s="1" t="s">
        <v>269</v>
      </c>
      <c r="C27" s="6" t="s">
        <v>629</v>
      </c>
      <c r="D27" s="1" t="s">
        <v>275</v>
      </c>
      <c r="E27" s="1" t="s">
        <v>630</v>
      </c>
      <c r="F27" s="19">
        <v>13303.37</v>
      </c>
      <c r="G27" s="5">
        <f t="shared" si="0"/>
        <v>1735.2221739130437</v>
      </c>
      <c r="H27" s="5">
        <f t="shared" si="1"/>
        <v>11568.147826086957</v>
      </c>
      <c r="J27" s="6" t="s">
        <v>619</v>
      </c>
      <c r="K27" s="5">
        <v>13303.37</v>
      </c>
      <c r="L27" s="7"/>
      <c r="N27" s="5"/>
      <c r="O27" s="5">
        <v>2520.0100000000002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9048.14</v>
      </c>
      <c r="AB27" s="5"/>
      <c r="AC27" s="5"/>
      <c r="AD27" s="5"/>
      <c r="AE27" s="5">
        <f t="shared" si="2"/>
        <v>11568.15</v>
      </c>
      <c r="AF27" s="5"/>
      <c r="AG27" s="5">
        <f t="shared" si="4"/>
        <v>-2.1739130424975883E-3</v>
      </c>
    </row>
    <row r="28" spans="2:33">
      <c r="B28" s="1" t="s">
        <v>269</v>
      </c>
      <c r="C28" s="6" t="s">
        <v>629</v>
      </c>
      <c r="D28" s="1" t="s">
        <v>271</v>
      </c>
      <c r="E28" s="1" t="s">
        <v>631</v>
      </c>
      <c r="F28" s="19">
        <v>36080.65</v>
      </c>
      <c r="G28" s="5">
        <f t="shared" si="0"/>
        <v>4706.1717391304346</v>
      </c>
      <c r="H28" s="5">
        <f t="shared" si="1"/>
        <v>31374.478260869568</v>
      </c>
      <c r="J28" s="6" t="s">
        <v>619</v>
      </c>
      <c r="K28" s="5">
        <v>36080.65</v>
      </c>
      <c r="L28" s="7"/>
      <c r="N28" s="5"/>
      <c r="O28" s="5">
        <v>19427.75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11946.73</v>
      </c>
      <c r="AB28" s="5"/>
      <c r="AC28" s="5"/>
      <c r="AD28" s="5"/>
      <c r="AE28" s="5">
        <f t="shared" si="2"/>
        <v>31374.48</v>
      </c>
      <c r="AF28" s="5"/>
      <c r="AG28" s="5">
        <f t="shared" si="4"/>
        <v>-1.7391304318152834E-3</v>
      </c>
    </row>
    <row r="29" spans="2:33">
      <c r="B29" s="1" t="s">
        <v>269</v>
      </c>
      <c r="C29" s="6" t="s">
        <v>632</v>
      </c>
      <c r="D29" s="1" t="s">
        <v>275</v>
      </c>
      <c r="E29" s="1" t="s">
        <v>633</v>
      </c>
      <c r="F29" s="19">
        <v>19272.3</v>
      </c>
      <c r="G29" s="5">
        <f t="shared" si="0"/>
        <v>2513.7782608695652</v>
      </c>
      <c r="H29" s="5">
        <f t="shared" si="1"/>
        <v>16758.521739130432</v>
      </c>
      <c r="J29" s="6" t="s">
        <v>619</v>
      </c>
      <c r="K29" s="5">
        <v>19272.3</v>
      </c>
      <c r="L29" s="7"/>
      <c r="N29" s="5"/>
      <c r="O29" s="5">
        <v>3230.78</v>
      </c>
      <c r="P29" s="5"/>
      <c r="Q29" s="5"/>
      <c r="R29" s="5"/>
      <c r="S29" s="5">
        <v>2012.95</v>
      </c>
      <c r="T29" s="5"/>
      <c r="U29" s="5"/>
      <c r="V29" s="5"/>
      <c r="W29" s="5"/>
      <c r="X29" s="5"/>
      <c r="Y29" s="5"/>
      <c r="Z29" s="5"/>
      <c r="AA29" s="5">
        <v>11514.79</v>
      </c>
      <c r="AB29" s="5"/>
      <c r="AC29" s="5"/>
      <c r="AD29" s="5"/>
      <c r="AE29" s="5">
        <f t="shared" si="2"/>
        <v>16758.52</v>
      </c>
      <c r="AF29" s="5"/>
      <c r="AG29" s="5">
        <f t="shared" si="4"/>
        <v>1.7391304318152834E-3</v>
      </c>
    </row>
    <row r="30" spans="2:33">
      <c r="B30" s="1" t="s">
        <v>269</v>
      </c>
      <c r="C30" s="6" t="s">
        <v>632</v>
      </c>
      <c r="D30" s="1" t="s">
        <v>271</v>
      </c>
      <c r="E30" s="1" t="s">
        <v>634</v>
      </c>
      <c r="F30" s="19">
        <v>71863.72</v>
      </c>
      <c r="G30" s="5">
        <f t="shared" si="0"/>
        <v>9373.5286956521741</v>
      </c>
      <c r="H30" s="5">
        <f t="shared" si="1"/>
        <v>62490.191304347827</v>
      </c>
      <c r="J30" s="6" t="s">
        <v>619</v>
      </c>
      <c r="K30" s="5">
        <v>71863.72</v>
      </c>
      <c r="L30" s="7"/>
      <c r="N30" s="5"/>
      <c r="O30" s="5">
        <v>47384.7</v>
      </c>
      <c r="P30" s="5"/>
      <c r="Q30" s="5"/>
      <c r="R30" s="5"/>
      <c r="S30" s="5">
        <v>11286.17</v>
      </c>
      <c r="T30" s="5"/>
      <c r="U30" s="5"/>
      <c r="V30" s="5"/>
      <c r="W30" s="5"/>
      <c r="X30" s="5"/>
      <c r="Y30" s="5"/>
      <c r="Z30" s="5"/>
      <c r="AA30" s="5">
        <v>3819.32</v>
      </c>
      <c r="AB30" s="5"/>
      <c r="AC30" s="5"/>
      <c r="AD30" s="5"/>
      <c r="AE30" s="5">
        <f t="shared" si="2"/>
        <v>62490.189999999995</v>
      </c>
      <c r="AF30" s="5"/>
      <c r="AG30" s="5">
        <f t="shared" si="4"/>
        <v>1.3043478320469148E-3</v>
      </c>
    </row>
    <row r="31" spans="2:33">
      <c r="B31" s="1" t="s">
        <v>269</v>
      </c>
      <c r="C31" s="6" t="s">
        <v>635</v>
      </c>
      <c r="D31" s="1" t="s">
        <v>275</v>
      </c>
      <c r="E31" s="1" t="s">
        <v>636</v>
      </c>
      <c r="F31" s="19">
        <v>6440</v>
      </c>
      <c r="G31" s="5">
        <f t="shared" si="0"/>
        <v>840</v>
      </c>
      <c r="H31" s="5">
        <f t="shared" si="1"/>
        <v>5600</v>
      </c>
      <c r="J31" s="6" t="s">
        <v>619</v>
      </c>
      <c r="K31" s="5">
        <v>6440</v>
      </c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>
        <v>5600</v>
      </c>
      <c r="AD31" s="5"/>
      <c r="AE31" s="5">
        <f t="shared" si="2"/>
        <v>5600</v>
      </c>
      <c r="AF31" s="5"/>
      <c r="AG31" s="5">
        <f t="shared" si="4"/>
        <v>0</v>
      </c>
    </row>
    <row r="32" spans="2:33">
      <c r="B32" s="1" t="s">
        <v>269</v>
      </c>
      <c r="C32" s="6" t="s">
        <v>240</v>
      </c>
      <c r="D32" s="1" t="s">
        <v>275</v>
      </c>
      <c r="E32" s="1" t="s">
        <v>379</v>
      </c>
      <c r="F32" s="19">
        <v>13101.18</v>
      </c>
      <c r="G32" s="5">
        <f t="shared" si="0"/>
        <v>1708.8495652173915</v>
      </c>
      <c r="H32" s="5">
        <f t="shared" si="1"/>
        <v>11392.330434782609</v>
      </c>
      <c r="J32" s="6" t="s">
        <v>619</v>
      </c>
      <c r="K32" s="5">
        <v>13101.18</v>
      </c>
      <c r="L32" s="7"/>
      <c r="N32" s="5">
        <v>4500</v>
      </c>
      <c r="O32" s="5">
        <v>6892.33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f t="shared" si="2"/>
        <v>11392.33</v>
      </c>
      <c r="AF32" s="5"/>
      <c r="AG32" s="5">
        <f t="shared" si="4"/>
        <v>4.3478260886331555E-4</v>
      </c>
    </row>
    <row r="33" spans="2:33">
      <c r="B33" s="1" t="s">
        <v>269</v>
      </c>
      <c r="C33" s="6" t="s">
        <v>240</v>
      </c>
      <c r="D33" s="1" t="s">
        <v>271</v>
      </c>
      <c r="E33" s="1" t="s">
        <v>386</v>
      </c>
      <c r="F33" s="19">
        <v>6192.32</v>
      </c>
      <c r="G33" s="5">
        <f t="shared" si="0"/>
        <v>807.69391304347812</v>
      </c>
      <c r="H33" s="5">
        <f t="shared" si="1"/>
        <v>5384.6260869565212</v>
      </c>
      <c r="J33" s="6" t="s">
        <v>619</v>
      </c>
      <c r="K33" s="5">
        <v>6192.32</v>
      </c>
      <c r="L33" s="7"/>
      <c r="N33" s="5"/>
      <c r="O33" s="5">
        <v>5384.63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f t="shared" si="2"/>
        <v>5384.63</v>
      </c>
      <c r="AF33" s="5"/>
      <c r="AG33" s="5">
        <f t="shared" si="4"/>
        <v>-3.9130434788603452E-3</v>
      </c>
    </row>
    <row r="34" spans="2:33">
      <c r="B34" s="1" t="s">
        <v>269</v>
      </c>
      <c r="C34" s="6" t="s">
        <v>637</v>
      </c>
      <c r="D34" s="1" t="s">
        <v>271</v>
      </c>
      <c r="E34" s="1" t="s">
        <v>405</v>
      </c>
      <c r="F34" s="19">
        <v>10144.549999999999</v>
      </c>
      <c r="G34" s="5">
        <f t="shared" si="0"/>
        <v>1323.2021739130435</v>
      </c>
      <c r="H34" s="5">
        <f t="shared" si="1"/>
        <v>8821.347826086956</v>
      </c>
      <c r="J34" s="6" t="s">
        <v>619</v>
      </c>
      <c r="K34" s="5">
        <v>10144.549999999999</v>
      </c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>
        <v>8821.35</v>
      </c>
      <c r="AD34" s="5"/>
      <c r="AE34" s="5">
        <f t="shared" si="2"/>
        <v>8821.35</v>
      </c>
      <c r="AF34" s="5"/>
      <c r="AG34" s="5">
        <f t="shared" si="4"/>
        <v>-2.1739130443165777E-3</v>
      </c>
    </row>
    <row r="35" spans="2:33">
      <c r="B35" s="1" t="s">
        <v>269</v>
      </c>
      <c r="C35" s="6" t="s">
        <v>359</v>
      </c>
      <c r="D35" s="1" t="s">
        <v>275</v>
      </c>
      <c r="E35" s="1" t="s">
        <v>410</v>
      </c>
      <c r="F35" s="19">
        <v>19149.14</v>
      </c>
      <c r="G35" s="5">
        <f t="shared" si="0"/>
        <v>2497.713913043478</v>
      </c>
      <c r="H35" s="5">
        <f t="shared" si="1"/>
        <v>16651.426086956522</v>
      </c>
      <c r="J35" s="6" t="s">
        <v>619</v>
      </c>
      <c r="K35" s="5">
        <v>19149.14</v>
      </c>
      <c r="L35" s="7"/>
      <c r="N35" s="5"/>
      <c r="O35" s="5">
        <v>16651.43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si="2"/>
        <v>16651.43</v>
      </c>
      <c r="AF35" s="5"/>
      <c r="AG35" s="5">
        <f t="shared" si="4"/>
        <v>-3.9130434779508505E-3</v>
      </c>
    </row>
    <row r="36" spans="2:33">
      <c r="B36" s="1" t="s">
        <v>638</v>
      </c>
      <c r="C36" s="6" t="s">
        <v>240</v>
      </c>
      <c r="D36" s="1" t="s">
        <v>304</v>
      </c>
      <c r="E36" s="1" t="s">
        <v>385</v>
      </c>
      <c r="F36" s="19">
        <v>7810.36</v>
      </c>
      <c r="G36" s="5">
        <f t="shared" si="0"/>
        <v>1018.7426086956522</v>
      </c>
      <c r="H36" s="5">
        <f t="shared" si="1"/>
        <v>6791.6173913043476</v>
      </c>
      <c r="J36" s="6" t="s">
        <v>639</v>
      </c>
      <c r="K36" s="5">
        <v>7810.36</v>
      </c>
      <c r="L36" s="7"/>
      <c r="N36" s="5"/>
      <c r="O36" s="5"/>
      <c r="P36" s="5"/>
      <c r="Q36" s="5">
        <v>813.55</v>
      </c>
      <c r="R36" s="5"/>
      <c r="S36" s="5">
        <v>5873.77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>
        <v>104.3</v>
      </c>
      <c r="AE36" s="5">
        <f t="shared" si="2"/>
        <v>6791.6200000000008</v>
      </c>
      <c r="AF36" s="5"/>
      <c r="AG36" s="5">
        <f t="shared" si="4"/>
        <v>-2.6086956531798933E-3</v>
      </c>
    </row>
    <row r="37" spans="2:33">
      <c r="B37" s="1" t="s">
        <v>243</v>
      </c>
      <c r="C37" s="6" t="s">
        <v>240</v>
      </c>
      <c r="D37" s="1" t="s">
        <v>300</v>
      </c>
      <c r="E37" s="1" t="s">
        <v>389</v>
      </c>
      <c r="F37" s="19">
        <v>9710.73</v>
      </c>
      <c r="G37" s="5">
        <f t="shared" si="0"/>
        <v>1266.616956521739</v>
      </c>
      <c r="H37" s="5">
        <f t="shared" si="1"/>
        <v>8444.1130434782608</v>
      </c>
      <c r="J37" s="6" t="s">
        <v>639</v>
      </c>
      <c r="K37" s="5">
        <v>9710.73</v>
      </c>
      <c r="L37" s="7"/>
      <c r="N37" s="5"/>
      <c r="O37" s="5"/>
      <c r="P37" s="5"/>
      <c r="Q37" s="5">
        <v>813.55</v>
      </c>
      <c r="R37" s="5"/>
      <c r="S37" s="5">
        <v>6557.14</v>
      </c>
      <c r="T37" s="5"/>
      <c r="U37" s="5">
        <v>1073.42</v>
      </c>
      <c r="V37" s="5"/>
      <c r="W37" s="5"/>
      <c r="X37" s="5"/>
      <c r="Y37" s="5"/>
      <c r="Z37" s="5"/>
      <c r="AA37" s="5"/>
      <c r="AB37" s="5"/>
      <c r="AC37" s="5"/>
      <c r="AD37" s="5"/>
      <c r="AE37" s="5">
        <f t="shared" ref="AE37" si="5">SUM(N37:AD37)</f>
        <v>8444.11</v>
      </c>
      <c r="AF37" s="5"/>
      <c r="AG37" s="5">
        <f t="shared" ref="AG37" si="6">H37-AE37</f>
        <v>3.0434782602242194E-3</v>
      </c>
    </row>
    <row r="38" spans="2:33">
      <c r="B38" s="1" t="s">
        <v>243</v>
      </c>
      <c r="C38" s="6" t="s">
        <v>240</v>
      </c>
      <c r="D38" s="1" t="s">
        <v>298</v>
      </c>
      <c r="E38" s="1" t="s">
        <v>390</v>
      </c>
      <c r="F38" s="19">
        <v>9710.73</v>
      </c>
      <c r="G38" s="5">
        <f t="shared" si="0"/>
        <v>1266.616956521739</v>
      </c>
      <c r="H38" s="5">
        <f t="shared" si="1"/>
        <v>8444.1130434782608</v>
      </c>
      <c r="J38" s="6" t="s">
        <v>639</v>
      </c>
      <c r="K38" s="5">
        <v>9710.73</v>
      </c>
      <c r="L38" s="7"/>
      <c r="N38" s="5"/>
      <c r="O38" s="5"/>
      <c r="P38" s="5"/>
      <c r="Q38" s="5">
        <v>813.55</v>
      </c>
      <c r="R38" s="5"/>
      <c r="S38" s="5">
        <v>6557.14</v>
      </c>
      <c r="T38" s="5"/>
      <c r="U38" s="5">
        <v>1073.42</v>
      </c>
      <c r="V38" s="5"/>
      <c r="W38" s="5"/>
      <c r="X38" s="5"/>
      <c r="Y38" s="5"/>
      <c r="Z38" s="5"/>
      <c r="AA38" s="5"/>
      <c r="AB38" s="5"/>
      <c r="AC38" s="5"/>
      <c r="AD38" s="5"/>
      <c r="AE38" s="5">
        <f t="shared" ref="AE38" si="7">SUM(N38:AD38)</f>
        <v>8444.11</v>
      </c>
      <c r="AF38" s="5"/>
      <c r="AG38" s="5">
        <f t="shared" ref="AG38" si="8">H38-AE38</f>
        <v>3.0434782602242194E-3</v>
      </c>
    </row>
    <row r="39" spans="2:33">
      <c r="B39" s="1" t="s">
        <v>243</v>
      </c>
      <c r="C39" s="6" t="s">
        <v>240</v>
      </c>
      <c r="D39" s="1" t="s">
        <v>296</v>
      </c>
      <c r="E39" s="1" t="s">
        <v>391</v>
      </c>
      <c r="F39" s="19">
        <v>9710.73</v>
      </c>
      <c r="G39" s="5">
        <f t="shared" si="0"/>
        <v>1266.616956521739</v>
      </c>
      <c r="H39" s="5">
        <f t="shared" si="1"/>
        <v>8444.1130434782608</v>
      </c>
      <c r="J39" s="6" t="s">
        <v>639</v>
      </c>
      <c r="K39" s="5">
        <v>9710.73</v>
      </c>
      <c r="L39" s="7"/>
      <c r="N39" s="5"/>
      <c r="O39" s="5"/>
      <c r="P39" s="5"/>
      <c r="Q39" s="5">
        <v>813.55</v>
      </c>
      <c r="R39" s="5"/>
      <c r="S39" s="5">
        <v>6557.14</v>
      </c>
      <c r="T39" s="5"/>
      <c r="U39" s="5">
        <v>1073.42</v>
      </c>
      <c r="V39" s="5"/>
      <c r="W39" s="5"/>
      <c r="X39" s="5"/>
      <c r="Y39" s="5"/>
      <c r="Z39" s="5"/>
      <c r="AA39" s="5"/>
      <c r="AB39" s="5"/>
      <c r="AC39" s="5"/>
      <c r="AD39" s="5"/>
      <c r="AE39" s="5">
        <f t="shared" ref="AE39" si="9">SUM(N39:AD39)</f>
        <v>8444.11</v>
      </c>
      <c r="AF39" s="5"/>
      <c r="AG39" s="5">
        <f t="shared" ref="AG39" si="10">H39-AE39</f>
        <v>3.0434782602242194E-3</v>
      </c>
    </row>
    <row r="40" spans="2:33">
      <c r="B40" s="1" t="s">
        <v>614</v>
      </c>
      <c r="C40" s="6" t="s">
        <v>615</v>
      </c>
      <c r="D40" s="1" t="s">
        <v>616</v>
      </c>
      <c r="E40" s="1" t="s">
        <v>528</v>
      </c>
      <c r="F40" s="19">
        <v>18400</v>
      </c>
      <c r="G40" s="5">
        <f t="shared" si="0"/>
        <v>2400</v>
      </c>
      <c r="H40" s="5">
        <f t="shared" si="1"/>
        <v>16000</v>
      </c>
      <c r="J40" s="6" t="s">
        <v>639</v>
      </c>
      <c r="K40" s="5">
        <v>18400</v>
      </c>
      <c r="L40" s="7"/>
      <c r="N40" s="5"/>
      <c r="O40" s="5"/>
      <c r="P40" s="5"/>
      <c r="Q40" s="5"/>
      <c r="R40" s="5">
        <v>16000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f t="shared" ref="AE40:AE41" si="11">SUM(N40:AD40)</f>
        <v>16000</v>
      </c>
      <c r="AF40" s="5"/>
      <c r="AG40" s="5">
        <f t="shared" ref="AG40:AG41" si="12">H40-AE40</f>
        <v>0</v>
      </c>
    </row>
    <row r="41" spans="2:33">
      <c r="B41" s="1" t="s">
        <v>269</v>
      </c>
      <c r="C41" s="6" t="s">
        <v>477</v>
      </c>
      <c r="D41" s="1" t="s">
        <v>275</v>
      </c>
      <c r="E41" s="1" t="s">
        <v>495</v>
      </c>
      <c r="F41" s="19">
        <v>17530.150000000001</v>
      </c>
      <c r="G41" s="5">
        <f t="shared" si="0"/>
        <v>2286.5413043478261</v>
      </c>
      <c r="H41" s="5">
        <f t="shared" si="1"/>
        <v>15243.608695652176</v>
      </c>
      <c r="J41" s="6" t="s">
        <v>640</v>
      </c>
      <c r="K41" s="5">
        <v>17530.150000000001</v>
      </c>
      <c r="L41" s="7"/>
      <c r="N41" s="5"/>
      <c r="O41" s="5">
        <v>10545.92</v>
      </c>
      <c r="P41" s="5"/>
      <c r="Q41" s="5"/>
      <c r="R41" s="5"/>
      <c r="S41" s="5">
        <v>4697.6899999999996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f t="shared" si="11"/>
        <v>15243.61</v>
      </c>
      <c r="AF41" s="5"/>
      <c r="AG41" s="5">
        <f t="shared" si="12"/>
        <v>-1.3043478247709572E-3</v>
      </c>
    </row>
    <row r="42" spans="2:33">
      <c r="B42" s="1" t="s">
        <v>641</v>
      </c>
      <c r="C42" s="6" t="s">
        <v>642</v>
      </c>
      <c r="D42" s="1" t="s">
        <v>467</v>
      </c>
      <c r="E42" s="1" t="s">
        <v>643</v>
      </c>
      <c r="F42" s="19">
        <v>94718.84</v>
      </c>
      <c r="G42" s="5">
        <f t="shared" si="0"/>
        <v>12354.631304347824</v>
      </c>
      <c r="H42" s="5">
        <f t="shared" si="1"/>
        <v>82364.208695652167</v>
      </c>
      <c r="J42" s="6" t="s">
        <v>640</v>
      </c>
      <c r="K42" s="5">
        <v>94718.84</v>
      </c>
      <c r="L42" s="7"/>
      <c r="N42" s="5">
        <v>20343.3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v>61998.400000000001</v>
      </c>
      <c r="AB42" s="5"/>
      <c r="AC42" s="5"/>
      <c r="AD42" s="5">
        <v>22.51</v>
      </c>
      <c r="AE42" s="5">
        <f t="shared" ref="AE42" si="13">SUM(N42:AD42)</f>
        <v>82364.209999999992</v>
      </c>
      <c r="AF42" s="5"/>
      <c r="AG42" s="5">
        <f t="shared" ref="AG42" si="14">H42-AE42</f>
        <v>-1.3043478247709572E-3</v>
      </c>
    </row>
    <row r="43" spans="2:33">
      <c r="B43" s="1" t="s">
        <v>641</v>
      </c>
      <c r="C43" s="6" t="s">
        <v>211</v>
      </c>
      <c r="D43" s="1" t="s">
        <v>644</v>
      </c>
      <c r="E43" s="1" t="s">
        <v>645</v>
      </c>
      <c r="F43" s="19">
        <v>44366.59</v>
      </c>
      <c r="G43" s="5">
        <f t="shared" si="0"/>
        <v>5786.9465217391298</v>
      </c>
      <c r="H43" s="5">
        <f t="shared" si="1"/>
        <v>38579.64347826087</v>
      </c>
      <c r="J43" s="6" t="s">
        <v>640</v>
      </c>
      <c r="K43" s="5">
        <v>44366.59</v>
      </c>
      <c r="L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v>38579.620000000003</v>
      </c>
      <c r="AB43" s="5"/>
      <c r="AC43" s="5"/>
      <c r="AD43" s="5"/>
      <c r="AE43" s="5">
        <f t="shared" ref="AE43" si="15">SUM(N43:AD43)</f>
        <v>38579.620000000003</v>
      </c>
      <c r="AF43" s="5"/>
      <c r="AG43" s="5">
        <f t="shared" ref="AG43" si="16">H43-AE43</f>
        <v>2.3478260867705103E-2</v>
      </c>
    </row>
    <row r="44" spans="2:33">
      <c r="B44" s="1" t="s">
        <v>641</v>
      </c>
      <c r="C44" s="6" t="s">
        <v>646</v>
      </c>
      <c r="D44" s="1" t="s">
        <v>644</v>
      </c>
      <c r="E44" s="1" t="s">
        <v>647</v>
      </c>
      <c r="F44" s="19">
        <v>14295.28</v>
      </c>
      <c r="G44" s="5">
        <f t="shared" si="0"/>
        <v>1864.6017391304349</v>
      </c>
      <c r="H44" s="5">
        <f t="shared" si="1"/>
        <v>12430.678260869565</v>
      </c>
      <c r="J44" s="6" t="s">
        <v>640</v>
      </c>
      <c r="K44" s="5">
        <v>14295.28</v>
      </c>
      <c r="L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v>12430.68</v>
      </c>
      <c r="AB44" s="5"/>
      <c r="AC44" s="5"/>
      <c r="AD44" s="5"/>
      <c r="AE44" s="5">
        <f t="shared" ref="AE44" si="17">SUM(N44:AD44)</f>
        <v>12430.68</v>
      </c>
      <c r="AF44" s="5"/>
      <c r="AG44" s="5">
        <f t="shared" ref="AG44" si="18">H44-AE44</f>
        <v>-1.7391304354532622E-3</v>
      </c>
    </row>
    <row r="45" spans="2:33">
      <c r="B45" s="1" t="s">
        <v>337</v>
      </c>
      <c r="C45" s="6" t="s">
        <v>359</v>
      </c>
      <c r="D45" s="1" t="s">
        <v>338</v>
      </c>
      <c r="E45" s="1" t="s">
        <v>442</v>
      </c>
      <c r="F45" s="19">
        <v>32775</v>
      </c>
      <c r="G45" s="5">
        <f t="shared" si="0"/>
        <v>4275</v>
      </c>
      <c r="H45" s="5">
        <f t="shared" si="1"/>
        <v>28500</v>
      </c>
      <c r="J45" s="6" t="s">
        <v>648</v>
      </c>
      <c r="K45" s="5">
        <v>32775</v>
      </c>
      <c r="L45" s="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>
        <v>28500</v>
      </c>
      <c r="AD45" s="5"/>
      <c r="AE45" s="5">
        <f t="shared" si="2"/>
        <v>28500</v>
      </c>
      <c r="AF45" s="5"/>
      <c r="AG45" s="5">
        <f t="shared" si="4"/>
        <v>0</v>
      </c>
    </row>
    <row r="46" spans="2:33">
      <c r="B46" s="1" t="s">
        <v>337</v>
      </c>
      <c r="C46" s="6" t="s">
        <v>649</v>
      </c>
      <c r="D46" s="1" t="s">
        <v>338</v>
      </c>
      <c r="E46" s="1" t="s">
        <v>650</v>
      </c>
      <c r="F46" s="19">
        <v>1200</v>
      </c>
      <c r="G46" s="5">
        <f t="shared" si="0"/>
        <v>156.52173913043478</v>
      </c>
      <c r="H46" s="5">
        <f t="shared" si="1"/>
        <v>1043.4782608695652</v>
      </c>
      <c r="J46" s="6" t="s">
        <v>648</v>
      </c>
      <c r="K46" s="5">
        <v>1200</v>
      </c>
      <c r="L46" s="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>
        <v>1043.48</v>
      </c>
      <c r="AD46" s="5"/>
      <c r="AE46" s="5">
        <f t="shared" si="2"/>
        <v>1043.48</v>
      </c>
      <c r="AF46" s="5"/>
      <c r="AG46" s="5">
        <f t="shared" si="4"/>
        <v>-1.7391304347711412E-3</v>
      </c>
    </row>
    <row r="47" spans="2:33">
      <c r="B47" s="1" t="s">
        <v>337</v>
      </c>
      <c r="C47" s="6" t="s">
        <v>359</v>
      </c>
      <c r="D47" s="1" t="s">
        <v>338</v>
      </c>
      <c r="E47" s="1" t="s">
        <v>433</v>
      </c>
      <c r="F47" s="19">
        <v>162182.09</v>
      </c>
      <c r="G47" s="5">
        <f t="shared" si="0"/>
        <v>21154.185652173914</v>
      </c>
      <c r="H47" s="5">
        <f t="shared" si="1"/>
        <v>141027.90434782609</v>
      </c>
      <c r="J47" s="6" t="s">
        <v>648</v>
      </c>
      <c r="K47" s="5">
        <v>162182.09</v>
      </c>
      <c r="L47" s="7"/>
      <c r="N47" s="5">
        <v>19250</v>
      </c>
      <c r="O47" s="5"/>
      <c r="P47" s="5"/>
      <c r="Q47" s="5">
        <v>68760</v>
      </c>
      <c r="R47" s="5"/>
      <c r="S47" s="5"/>
      <c r="T47" s="5">
        <v>52160</v>
      </c>
      <c r="U47" s="5"/>
      <c r="V47" s="5"/>
      <c r="W47" s="5"/>
      <c r="X47" s="5"/>
      <c r="Y47" s="5"/>
      <c r="Z47" s="5"/>
      <c r="AA47" s="5"/>
      <c r="AB47" s="5"/>
      <c r="AC47" s="5"/>
      <c r="AD47" s="5">
        <v>857.9</v>
      </c>
      <c r="AE47" s="5">
        <f t="shared" si="2"/>
        <v>141027.9</v>
      </c>
      <c r="AF47" s="5"/>
      <c r="AG47" s="5">
        <f t="shared" si="4"/>
        <v>4.3478260922711343E-3</v>
      </c>
    </row>
    <row r="48" spans="2:33">
      <c r="B48" s="1" t="s">
        <v>337</v>
      </c>
      <c r="C48" s="6" t="s">
        <v>477</v>
      </c>
      <c r="D48" s="1" t="s">
        <v>338</v>
      </c>
      <c r="E48" s="1" t="s">
        <v>520</v>
      </c>
      <c r="F48" s="19">
        <v>25288.5</v>
      </c>
      <c r="G48" s="5">
        <f t="shared" si="0"/>
        <v>3298.5</v>
      </c>
      <c r="H48" s="5">
        <f t="shared" si="1"/>
        <v>21990</v>
      </c>
      <c r="J48" s="6" t="s">
        <v>651</v>
      </c>
      <c r="K48" s="5">
        <v>25288.5</v>
      </c>
      <c r="L48" s="7"/>
      <c r="N48" s="5">
        <v>1650</v>
      </c>
      <c r="O48" s="5"/>
      <c r="P48" s="5"/>
      <c r="Q48" s="5">
        <v>12340</v>
      </c>
      <c r="R48" s="5"/>
      <c r="S48" s="5"/>
      <c r="T48" s="5">
        <v>8000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>
        <f t="shared" si="2"/>
        <v>21990</v>
      </c>
      <c r="AF48" s="5"/>
      <c r="AG48" s="5">
        <f t="shared" si="4"/>
        <v>0</v>
      </c>
    </row>
    <row r="49" spans="2:33">
      <c r="B49" s="1" t="s">
        <v>337</v>
      </c>
      <c r="C49" s="6" t="s">
        <v>486</v>
      </c>
      <c r="D49" s="1" t="s">
        <v>338</v>
      </c>
      <c r="E49" s="1" t="s">
        <v>487</v>
      </c>
      <c r="F49" s="19">
        <v>1136.2</v>
      </c>
      <c r="G49" s="5">
        <f t="shared" si="0"/>
        <v>148.19999999999999</v>
      </c>
      <c r="H49" s="5">
        <f t="shared" si="1"/>
        <v>988</v>
      </c>
      <c r="J49" s="6" t="s">
        <v>651</v>
      </c>
      <c r="K49" s="5">
        <v>1136.2</v>
      </c>
      <c r="L49" s="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>
        <v>988</v>
      </c>
      <c r="AD49" s="5"/>
      <c r="AE49" s="5">
        <f t="shared" si="2"/>
        <v>988</v>
      </c>
      <c r="AF49" s="5"/>
      <c r="AG49" s="5">
        <f t="shared" si="4"/>
        <v>0</v>
      </c>
    </row>
    <row r="50" spans="2:33">
      <c r="B50" s="1" t="s">
        <v>337</v>
      </c>
      <c r="C50" s="6" t="s">
        <v>486</v>
      </c>
      <c r="D50" s="1" t="s">
        <v>338</v>
      </c>
      <c r="E50" s="1" t="s">
        <v>488</v>
      </c>
      <c r="F50" s="19">
        <v>2415</v>
      </c>
      <c r="G50" s="5">
        <f t="shared" si="0"/>
        <v>315</v>
      </c>
      <c r="H50" s="5">
        <f t="shared" si="1"/>
        <v>2100</v>
      </c>
      <c r="J50" s="6" t="s">
        <v>651</v>
      </c>
      <c r="K50" s="5">
        <v>2415</v>
      </c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2100</v>
      </c>
      <c r="AD50" s="5"/>
      <c r="AE50" s="5">
        <f t="shared" si="2"/>
        <v>2100</v>
      </c>
      <c r="AF50" s="5"/>
      <c r="AG50" s="5">
        <f t="shared" si="4"/>
        <v>0</v>
      </c>
    </row>
    <row r="51" spans="2:33">
      <c r="B51" s="1" t="s">
        <v>259</v>
      </c>
      <c r="C51" s="6" t="s">
        <v>240</v>
      </c>
      <c r="D51" s="1" t="s">
        <v>260</v>
      </c>
      <c r="E51" s="1" t="s">
        <v>397</v>
      </c>
      <c r="F51" s="19">
        <v>215222.5</v>
      </c>
      <c r="G51" s="5">
        <f t="shared" si="0"/>
        <v>28072.5</v>
      </c>
      <c r="H51" s="5">
        <f t="shared" si="1"/>
        <v>187150</v>
      </c>
      <c r="J51" s="6" t="s">
        <v>652</v>
      </c>
      <c r="K51" s="5">
        <v>215222.5</v>
      </c>
      <c r="L51" s="7"/>
      <c r="N51" s="5">
        <v>140000</v>
      </c>
      <c r="O51" s="5"/>
      <c r="P51" s="5"/>
      <c r="Q51" s="5">
        <v>47150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>
        <f t="shared" si="2"/>
        <v>187150</v>
      </c>
      <c r="AF51" s="5"/>
      <c r="AG51" s="5">
        <f t="shared" si="4"/>
        <v>0</v>
      </c>
    </row>
    <row r="52" spans="2:33">
      <c r="B52" s="1" t="s">
        <v>259</v>
      </c>
      <c r="C52" s="6" t="s">
        <v>653</v>
      </c>
      <c r="D52" s="1" t="s">
        <v>260</v>
      </c>
      <c r="E52" s="1" t="s">
        <v>404</v>
      </c>
      <c r="F52" s="19">
        <v>223794.28</v>
      </c>
      <c r="G52" s="5">
        <f t="shared" si="0"/>
        <v>29190.558260869566</v>
      </c>
      <c r="H52" s="5">
        <f t="shared" si="1"/>
        <v>194603.72173913044</v>
      </c>
      <c r="J52" s="6" t="s">
        <v>652</v>
      </c>
      <c r="K52" s="5">
        <v>223794.28</v>
      </c>
      <c r="L52" s="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>
        <v>194603.72</v>
      </c>
      <c r="AD52" s="5"/>
      <c r="AE52" s="5">
        <f t="shared" si="2"/>
        <v>194603.72</v>
      </c>
      <c r="AF52" s="5"/>
      <c r="AG52" s="5">
        <f t="shared" si="4"/>
        <v>1.7391304427292198E-3</v>
      </c>
    </row>
    <row r="53" spans="2:33">
      <c r="B53" s="1" t="s">
        <v>362</v>
      </c>
      <c r="C53" s="6" t="s">
        <v>359</v>
      </c>
      <c r="D53" s="1" t="s">
        <v>363</v>
      </c>
      <c r="E53" s="1" t="s">
        <v>431</v>
      </c>
      <c r="F53" s="19">
        <v>309102.40999999997</v>
      </c>
      <c r="G53" s="5">
        <f t="shared" si="0"/>
        <v>40317.705652173907</v>
      </c>
      <c r="H53" s="5">
        <f t="shared" si="1"/>
        <v>268784.70434782607</v>
      </c>
      <c r="J53" s="6" t="s">
        <v>652</v>
      </c>
      <c r="K53" s="5">
        <v>309102.40999999997</v>
      </c>
      <c r="L53" s="7"/>
      <c r="N53" s="5">
        <v>52250</v>
      </c>
      <c r="O53" s="5"/>
      <c r="P53" s="5"/>
      <c r="Q53" s="5">
        <v>51000</v>
      </c>
      <c r="R53" s="5">
        <v>24695</v>
      </c>
      <c r="S53" s="5"/>
      <c r="T53" s="5"/>
      <c r="U53" s="5"/>
      <c r="V53" s="5">
        <v>132000</v>
      </c>
      <c r="W53" s="5"/>
      <c r="X53" s="5">
        <v>8360</v>
      </c>
      <c r="Y53" s="5"/>
      <c r="Z53" s="5"/>
      <c r="AA53" s="5"/>
      <c r="AB53" s="5"/>
      <c r="AC53" s="5"/>
      <c r="AD53" s="5">
        <v>479.7</v>
      </c>
      <c r="AE53" s="5">
        <f t="shared" si="2"/>
        <v>268784.7</v>
      </c>
      <c r="AF53" s="5"/>
      <c r="AG53" s="5">
        <f t="shared" si="4"/>
        <v>4.3478260631673038E-3</v>
      </c>
    </row>
    <row r="54" spans="2:33">
      <c r="B54" s="1" t="s">
        <v>362</v>
      </c>
      <c r="C54" s="6" t="s">
        <v>477</v>
      </c>
      <c r="D54" s="1" t="s">
        <v>363</v>
      </c>
      <c r="E54" s="1" t="s">
        <v>519</v>
      </c>
      <c r="F54" s="19">
        <v>20125</v>
      </c>
      <c r="G54" s="5">
        <f t="shared" si="0"/>
        <v>2625</v>
      </c>
      <c r="H54" s="5">
        <f t="shared" si="1"/>
        <v>17500</v>
      </c>
      <c r="J54" s="6" t="s">
        <v>652</v>
      </c>
      <c r="K54" s="5">
        <v>20125</v>
      </c>
      <c r="L54" s="7"/>
      <c r="N54" s="5">
        <v>11000</v>
      </c>
      <c r="O54" s="5"/>
      <c r="P54" s="5"/>
      <c r="Q54" s="5">
        <v>6500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>
        <f t="shared" si="2"/>
        <v>17500</v>
      </c>
      <c r="AF54" s="5"/>
      <c r="AG54" s="5">
        <f t="shared" si="4"/>
        <v>0</v>
      </c>
    </row>
    <row r="55" spans="2:33">
      <c r="B55" s="1" t="s">
        <v>326</v>
      </c>
      <c r="C55" s="6" t="s">
        <v>477</v>
      </c>
      <c r="D55" s="1" t="s">
        <v>255</v>
      </c>
      <c r="E55" s="1" t="s">
        <v>533</v>
      </c>
      <c r="F55" s="19">
        <v>34500</v>
      </c>
      <c r="G55" s="5">
        <f t="shared" si="0"/>
        <v>4500</v>
      </c>
      <c r="H55" s="5">
        <f t="shared" si="1"/>
        <v>30000</v>
      </c>
      <c r="J55" s="6" t="s">
        <v>652</v>
      </c>
      <c r="K55" s="5">
        <v>34500</v>
      </c>
      <c r="L55" s="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>
        <f t="shared" si="2"/>
        <v>0</v>
      </c>
      <c r="AF55" s="5"/>
      <c r="AG55" s="5">
        <f t="shared" si="4"/>
        <v>30000</v>
      </c>
    </row>
    <row r="56" spans="2:33">
      <c r="B56" s="47" t="s">
        <v>476</v>
      </c>
      <c r="C56" s="6" t="s">
        <v>654</v>
      </c>
      <c r="F56" s="19">
        <v>54331.199999999997</v>
      </c>
      <c r="G56" s="5">
        <v>0</v>
      </c>
      <c r="H56" s="5">
        <f t="shared" si="1"/>
        <v>54331.199999999997</v>
      </c>
      <c r="J56" s="6" t="s">
        <v>654</v>
      </c>
      <c r="K56" s="5">
        <v>54331.199999999997</v>
      </c>
      <c r="L56" s="7"/>
      <c r="N56" s="5"/>
      <c r="O56" s="5"/>
      <c r="P56" s="5">
        <v>16800</v>
      </c>
      <c r="Q56" s="5"/>
      <c r="R56" s="5"/>
      <c r="S56" s="5"/>
      <c r="T56" s="5"/>
      <c r="U56" s="5"/>
      <c r="V56" s="5"/>
      <c r="W56" s="5"/>
      <c r="X56" s="5"/>
      <c r="Y56" s="5">
        <v>37531.199999999997</v>
      </c>
      <c r="Z56" s="5"/>
      <c r="AA56" s="5"/>
      <c r="AB56" s="5"/>
      <c r="AC56" s="5"/>
      <c r="AD56" s="5"/>
      <c r="AE56" s="5">
        <f t="shared" ref="AE56" si="19">SUM(N56:AD56)</f>
        <v>54331.199999999997</v>
      </c>
      <c r="AF56" s="5"/>
      <c r="AG56" s="5">
        <f t="shared" ref="AG56" si="20">H56-AE56</f>
        <v>0</v>
      </c>
    </row>
    <row r="57" spans="2:33"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f t="shared" si="4"/>
        <v>0</v>
      </c>
    </row>
    <row r="58" spans="2:33" ht="12" thickBot="1">
      <c r="F58" s="8">
        <f>SUM(F6:F56)</f>
        <v>6045406.7900000019</v>
      </c>
      <c r="G58" s="8">
        <f t="shared" ref="G58:AG58" si="21">SUM(G6:G56)</f>
        <v>781444.64217391296</v>
      </c>
      <c r="H58" s="8">
        <f t="shared" si="21"/>
        <v>5263962.1478260877</v>
      </c>
      <c r="I58" s="8">
        <f t="shared" si="21"/>
        <v>0</v>
      </c>
      <c r="J58" s="8">
        <f t="shared" si="21"/>
        <v>0</v>
      </c>
      <c r="K58" s="8">
        <f t="shared" si="21"/>
        <v>6045406.7900000019</v>
      </c>
      <c r="L58" s="8">
        <f t="shared" si="21"/>
        <v>0</v>
      </c>
      <c r="M58" s="8">
        <f t="shared" si="21"/>
        <v>0</v>
      </c>
      <c r="N58" s="8">
        <f t="shared" si="21"/>
        <v>901817.12</v>
      </c>
      <c r="O58" s="8">
        <f t="shared" si="21"/>
        <v>644784.95000000007</v>
      </c>
      <c r="P58" s="8">
        <f t="shared" si="21"/>
        <v>320208.66000000003</v>
      </c>
      <c r="Q58" s="8">
        <f t="shared" si="21"/>
        <v>189004.2</v>
      </c>
      <c r="R58" s="8">
        <f t="shared" si="21"/>
        <v>266751.91000000003</v>
      </c>
      <c r="S58" s="8">
        <f t="shared" si="21"/>
        <v>251867.39000000007</v>
      </c>
      <c r="T58" s="8">
        <f t="shared" si="21"/>
        <v>60160</v>
      </c>
      <c r="U58" s="8">
        <f t="shared" si="21"/>
        <v>86415.22</v>
      </c>
      <c r="V58" s="8">
        <f t="shared" si="21"/>
        <v>143304.35</v>
      </c>
      <c r="W58" s="8">
        <f t="shared" si="21"/>
        <v>0</v>
      </c>
      <c r="X58" s="8">
        <f t="shared" si="21"/>
        <v>8360</v>
      </c>
      <c r="Y58" s="8">
        <f t="shared" si="21"/>
        <v>37531.199999999997</v>
      </c>
      <c r="Z58" s="8">
        <f t="shared" si="21"/>
        <v>0</v>
      </c>
      <c r="AA58" s="8">
        <f t="shared" si="21"/>
        <v>265731.95</v>
      </c>
      <c r="AB58" s="8">
        <f t="shared" si="21"/>
        <v>0</v>
      </c>
      <c r="AC58" s="8">
        <f t="shared" si="21"/>
        <v>2030086.86</v>
      </c>
      <c r="AD58" s="8">
        <f t="shared" si="21"/>
        <v>27938.31</v>
      </c>
      <c r="AE58" s="8">
        <f t="shared" si="21"/>
        <v>5233962.12</v>
      </c>
      <c r="AF58" s="8">
        <f t="shared" si="21"/>
        <v>0</v>
      </c>
      <c r="AG58" s="8">
        <f t="shared" si="21"/>
        <v>30000.027826087044</v>
      </c>
    </row>
    <row r="59" spans="2:33" ht="12" thickTop="1"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</sheetData>
  <mergeCells count="1">
    <mergeCell ref="N3:AE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B85C-4B91-4126-892E-FBFF833A7C32}">
  <sheetPr>
    <pageSetUpPr fitToPage="1"/>
  </sheetPr>
  <dimension ref="B2:AG32"/>
  <sheetViews>
    <sheetView zoomScale="80" zoomScaleNormal="80" workbookViewId="0">
      <pane xSplit="11" ySplit="4" topLeftCell="AA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18.2851562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0.710937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8.7109375" style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8.28515625" style="1" bestFit="1" customWidth="1"/>
    <col min="34" max="16384" width="8.7109375" style="1"/>
  </cols>
  <sheetData>
    <row r="2" spans="2:33" ht="15.75">
      <c r="B2" s="2" t="s">
        <v>655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28" si="0">F6*15/115</f>
        <v>0</v>
      </c>
      <c r="H6" s="5">
        <f t="shared" ref="H6:H28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>SUM(N6:AD6)</f>
        <v>0</v>
      </c>
      <c r="AF6" s="5"/>
      <c r="AG6" s="5"/>
    </row>
    <row r="7" spans="2:33">
      <c r="C7" s="6"/>
      <c r="F7" s="19"/>
      <c r="G7" s="5"/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v>0</v>
      </c>
      <c r="AF7" s="5"/>
      <c r="AG7" s="5"/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ref="AE8:AE28" si="2">SUM(N8:AD8)</f>
        <v>0</v>
      </c>
      <c r="AF8" s="5"/>
      <c r="AG8" s="5"/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/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/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/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/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/>
    </row>
    <row r="14" spans="2:33">
      <c r="C14" s="6"/>
      <c r="F14" s="19"/>
      <c r="G14" s="5"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/>
    </row>
    <row r="15" spans="2:33">
      <c r="C15" s="6"/>
      <c r="F15" s="19"/>
      <c r="G15" s="5"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/>
    </row>
    <row r="16" spans="2:33">
      <c r="C16" s="6"/>
      <c r="F16" s="19"/>
      <c r="G16" s="5"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/>
    </row>
    <row r="17" spans="3:33">
      <c r="C17" s="6"/>
      <c r="F17" s="19"/>
      <c r="G17" s="5">
        <v>0</v>
      </c>
      <c r="H17" s="5">
        <f t="shared" si="1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/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/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/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/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/>
    </row>
    <row r="22" spans="3:33">
      <c r="C22" s="6"/>
      <c r="F22" s="19"/>
      <c r="G22" s="5">
        <f t="shared" si="0"/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/>
    </row>
    <row r="23" spans="3:33">
      <c r="C23" s="6"/>
      <c r="F23" s="19"/>
      <c r="G23" s="5">
        <f t="shared" si="0"/>
        <v>0</v>
      </c>
      <c r="H23" s="5">
        <f t="shared" si="1"/>
        <v>0</v>
      </c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2"/>
        <v>0</v>
      </c>
      <c r="AF23" s="5"/>
      <c r="AG23" s="5"/>
    </row>
    <row r="24" spans="3:33">
      <c r="C24" s="6"/>
      <c r="F24" s="19"/>
      <c r="G24" s="5">
        <f t="shared" si="0"/>
        <v>0</v>
      </c>
      <c r="H24" s="5">
        <f t="shared" si="1"/>
        <v>0</v>
      </c>
      <c r="J24" s="6"/>
      <c r="K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f t="shared" si="2"/>
        <v>0</v>
      </c>
      <c r="AF24" s="5"/>
      <c r="AG24" s="5"/>
    </row>
    <row r="25" spans="3:33">
      <c r="C25" s="6"/>
      <c r="F25" s="19"/>
      <c r="G25" s="5">
        <f t="shared" si="0"/>
        <v>0</v>
      </c>
      <c r="H25" s="5">
        <f t="shared" si="1"/>
        <v>0</v>
      </c>
      <c r="J25" s="6"/>
      <c r="K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f t="shared" si="2"/>
        <v>0</v>
      </c>
      <c r="AF25" s="5"/>
      <c r="AG25" s="5"/>
    </row>
    <row r="26" spans="3:33">
      <c r="C26" s="6"/>
      <c r="F26" s="19"/>
      <c r="G26" s="5">
        <f t="shared" si="0"/>
        <v>0</v>
      </c>
      <c r="H26" s="5">
        <f t="shared" si="1"/>
        <v>0</v>
      </c>
      <c r="J26" s="6"/>
      <c r="K26" s="5"/>
      <c r="L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f t="shared" si="2"/>
        <v>0</v>
      </c>
      <c r="AF26" s="5"/>
      <c r="AG26" s="5"/>
    </row>
    <row r="27" spans="3:33">
      <c r="C27" s="6"/>
      <c r="F27" s="19"/>
      <c r="G27" s="5">
        <f t="shared" si="0"/>
        <v>0</v>
      </c>
      <c r="H27" s="5">
        <f t="shared" si="1"/>
        <v>0</v>
      </c>
      <c r="J27" s="6"/>
      <c r="K27" s="5"/>
      <c r="L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f t="shared" si="2"/>
        <v>0</v>
      </c>
      <c r="AF27" s="5"/>
      <c r="AG27" s="5"/>
    </row>
    <row r="28" spans="3:33">
      <c r="C28" s="6"/>
      <c r="F28" s="19"/>
      <c r="G28" s="5">
        <f t="shared" si="0"/>
        <v>0</v>
      </c>
      <c r="H28" s="5">
        <f t="shared" si="1"/>
        <v>0</v>
      </c>
      <c r="J28" s="6"/>
      <c r="K28" s="5"/>
      <c r="L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f t="shared" si="2"/>
        <v>0</v>
      </c>
      <c r="AF28" s="5"/>
      <c r="AG28" s="5"/>
    </row>
    <row r="29" spans="3:33">
      <c r="C29" s="6"/>
      <c r="F29" s="19"/>
      <c r="G29" s="5"/>
      <c r="H29" s="5"/>
      <c r="J29" s="6"/>
      <c r="K29" s="5"/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3:33"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3:33" ht="12" thickBot="1">
      <c r="F31" s="8">
        <f>SUM(F6:F30)</f>
        <v>0</v>
      </c>
      <c r="G31" s="8">
        <f>SUM(G6:G30)</f>
        <v>0</v>
      </c>
      <c r="H31" s="8">
        <f>SUM(H6:H30)</f>
        <v>0</v>
      </c>
      <c r="K31" s="8">
        <f>SUM(K6:K30)</f>
        <v>0</v>
      </c>
      <c r="N31" s="8">
        <f>SUM(N6:N28)</f>
        <v>0</v>
      </c>
      <c r="O31" s="8">
        <f>SUM(O6:O28)</f>
        <v>0</v>
      </c>
      <c r="P31" s="8">
        <f t="shared" ref="P31:AE31" si="3">SUM(P6:P28)</f>
        <v>0</v>
      </c>
      <c r="Q31" s="8">
        <f t="shared" si="3"/>
        <v>0</v>
      </c>
      <c r="R31" s="8">
        <f t="shared" si="3"/>
        <v>0</v>
      </c>
      <c r="S31" s="8">
        <f t="shared" si="3"/>
        <v>0</v>
      </c>
      <c r="T31" s="8">
        <f t="shared" si="3"/>
        <v>0</v>
      </c>
      <c r="U31" s="8">
        <f t="shared" si="3"/>
        <v>0</v>
      </c>
      <c r="V31" s="8">
        <f t="shared" si="3"/>
        <v>0</v>
      </c>
      <c r="W31" s="8">
        <f t="shared" si="3"/>
        <v>0</v>
      </c>
      <c r="X31" s="8">
        <f t="shared" si="3"/>
        <v>0</v>
      </c>
      <c r="Y31" s="8">
        <f t="shared" si="3"/>
        <v>0</v>
      </c>
      <c r="Z31" s="8">
        <f t="shared" si="3"/>
        <v>0</v>
      </c>
      <c r="AA31" s="8">
        <f t="shared" si="3"/>
        <v>0</v>
      </c>
      <c r="AB31" s="8">
        <f t="shared" si="3"/>
        <v>0</v>
      </c>
      <c r="AC31" s="8">
        <f t="shared" si="3"/>
        <v>0</v>
      </c>
      <c r="AD31" s="8">
        <f t="shared" si="3"/>
        <v>0</v>
      </c>
      <c r="AE31" s="8">
        <f t="shared" si="3"/>
        <v>0</v>
      </c>
      <c r="AF31" s="5"/>
      <c r="AG31" s="8">
        <f>SUM(AG6:AG26)</f>
        <v>0</v>
      </c>
    </row>
    <row r="32" spans="3:33" ht="12" thickTop="1"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</sheetData>
  <mergeCells count="1">
    <mergeCell ref="N3:AE3"/>
  </mergeCells>
  <pageMargins left="0.7" right="0.7" top="0.75" bottom="0.75" header="0.3" footer="0.3"/>
  <pageSetup scale="1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7072-493C-461C-8B27-1552A006E813}">
  <dimension ref="B2:AC67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3" width="18" style="1" customWidth="1"/>
    <col min="24" max="24" width="16" style="1" bestFit="1" customWidth="1"/>
    <col min="25" max="25" width="15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656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17"/>
      <c r="C8" s="14"/>
      <c r="D8" s="23"/>
      <c r="E8" s="18"/>
      <c r="F8" s="18">
        <f t="shared" ref="F8:F31" si="0">E8*15/115</f>
        <v>0</v>
      </c>
      <c r="G8" s="18">
        <f t="shared" ref="G8:G35" si="1">E8-F8</f>
        <v>0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f t="shared" ref="AA8:AA30" si="2">SUM(I8:Z8)</f>
        <v>0</v>
      </c>
      <c r="AC8" s="7">
        <f t="shared" ref="AC8:AC50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v>0</v>
      </c>
      <c r="G30" s="18">
        <f t="shared" si="1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C31" s="7">
        <f t="shared" si="3"/>
        <v>0</v>
      </c>
    </row>
    <row r="32" spans="2:29">
      <c r="B32" s="17"/>
      <c r="C32" s="14"/>
      <c r="D32" s="23"/>
      <c r="E32" s="18"/>
      <c r="F32" s="18"/>
      <c r="G32" s="18">
        <f t="shared" si="1"/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C32" s="7">
        <f t="shared" si="3"/>
        <v>0</v>
      </c>
    </row>
    <row r="33" spans="2:29">
      <c r="B33" s="17"/>
      <c r="C33" s="14"/>
      <c r="D33" s="23"/>
      <c r="E33" s="18"/>
      <c r="F33" s="18"/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C33" s="7">
        <f t="shared" si="3"/>
        <v>0</v>
      </c>
    </row>
    <row r="34" spans="2:29">
      <c r="B34" s="17"/>
      <c r="C34" s="14"/>
      <c r="D34" s="23"/>
      <c r="E34" s="18"/>
      <c r="F34" s="18"/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C34" s="7">
        <f t="shared" si="3"/>
        <v>0</v>
      </c>
    </row>
    <row r="35" spans="2:29">
      <c r="B35" s="17"/>
      <c r="C35" s="14"/>
      <c r="D35" s="23"/>
      <c r="E35" s="18"/>
      <c r="F35" s="18"/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C35" s="7">
        <f t="shared" si="3"/>
        <v>0</v>
      </c>
    </row>
    <row r="36" spans="2:29">
      <c r="B36" s="17"/>
      <c r="C36" s="14"/>
      <c r="D36" s="23"/>
      <c r="E36" s="18"/>
      <c r="F36" s="18"/>
      <c r="G36" s="1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ref="AA36:AA50" si="4">SUM(I36:Z36)</f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/>
      <c r="G37" s="18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4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/>
      <c r="G38" s="18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4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/>
      <c r="G39" s="18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>
        <f t="shared" si="4"/>
        <v>0</v>
      </c>
      <c r="AC39" s="7">
        <f t="shared" si="3"/>
        <v>0</v>
      </c>
    </row>
    <row r="40" spans="2:29">
      <c r="B40" s="17"/>
      <c r="C40" s="14"/>
      <c r="D40" s="23"/>
      <c r="E40" s="18"/>
      <c r="F40" s="18"/>
      <c r="G40" s="1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4"/>
        <v>0</v>
      </c>
      <c r="AC40" s="7">
        <f t="shared" si="3"/>
        <v>0</v>
      </c>
    </row>
    <row r="41" spans="2:29">
      <c r="B41" s="17"/>
      <c r="C41" s="14"/>
      <c r="D41" s="23"/>
      <c r="E41" s="18"/>
      <c r="F41" s="18"/>
      <c r="G41" s="1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4"/>
        <v>0</v>
      </c>
      <c r="AC41" s="7">
        <f t="shared" si="3"/>
        <v>0</v>
      </c>
    </row>
    <row r="42" spans="2:29">
      <c r="B42" s="17"/>
      <c r="C42" s="14"/>
      <c r="D42" s="23"/>
      <c r="E42" s="18"/>
      <c r="F42" s="18"/>
      <c r="G42" s="1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4"/>
        <v>0</v>
      </c>
      <c r="AC42" s="7">
        <f t="shared" si="3"/>
        <v>0</v>
      </c>
    </row>
    <row r="43" spans="2:29">
      <c r="B43" s="17"/>
      <c r="C43" s="14"/>
      <c r="D43" s="23"/>
      <c r="E43" s="18"/>
      <c r="F43" s="18"/>
      <c r="G43" s="1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4"/>
        <v>0</v>
      </c>
      <c r="AC43" s="7">
        <f t="shared" si="3"/>
        <v>0</v>
      </c>
    </row>
    <row r="44" spans="2:29">
      <c r="B44" s="17"/>
      <c r="C44" s="14"/>
      <c r="D44" s="23"/>
      <c r="E44" s="18"/>
      <c r="F44" s="18"/>
      <c r="G44" s="18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4"/>
        <v>0</v>
      </c>
      <c r="AC44" s="7">
        <f t="shared" si="3"/>
        <v>0</v>
      </c>
    </row>
    <row r="45" spans="2:29">
      <c r="B45" s="17"/>
      <c r="C45" s="14"/>
      <c r="D45" s="23"/>
      <c r="E45" s="18"/>
      <c r="F45" s="18"/>
      <c r="G45" s="1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4"/>
        <v>0</v>
      </c>
      <c r="AC45" s="7">
        <f t="shared" si="3"/>
        <v>0</v>
      </c>
    </row>
    <row r="46" spans="2:29">
      <c r="B46" s="17"/>
      <c r="C46" s="14"/>
      <c r="D46" s="23"/>
      <c r="E46" s="18"/>
      <c r="F46" s="18"/>
      <c r="G46" s="18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4"/>
        <v>0</v>
      </c>
      <c r="AC46" s="7">
        <f t="shared" si="3"/>
        <v>0</v>
      </c>
    </row>
    <row r="47" spans="2:29">
      <c r="B47" s="17"/>
      <c r="C47" s="14"/>
      <c r="D47" s="23"/>
      <c r="E47" s="18"/>
      <c r="F47" s="18"/>
      <c r="G47" s="18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4"/>
        <v>0</v>
      </c>
      <c r="AC47" s="7">
        <f t="shared" si="3"/>
        <v>0</v>
      </c>
    </row>
    <row r="48" spans="2:29">
      <c r="B48" s="17"/>
      <c r="C48" s="14"/>
      <c r="D48" s="23"/>
      <c r="E48" s="18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4"/>
        <v>0</v>
      </c>
      <c r="AC48" s="7">
        <f t="shared" si="3"/>
        <v>0</v>
      </c>
    </row>
    <row r="49" spans="2:29">
      <c r="B49" s="17"/>
      <c r="C49" s="14"/>
      <c r="D49" s="23"/>
      <c r="E49" s="26"/>
      <c r="F49" s="18"/>
      <c r="G49" s="18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>
        <f t="shared" si="4"/>
        <v>0</v>
      </c>
      <c r="AC49" s="7">
        <f t="shared" si="3"/>
        <v>0</v>
      </c>
    </row>
    <row r="50" spans="2:29">
      <c r="B50" s="17"/>
      <c r="C50" s="14"/>
      <c r="D50" s="23"/>
      <c r="E50" s="26"/>
      <c r="F50" s="18"/>
      <c r="G50" s="18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>
        <f t="shared" si="4"/>
        <v>0</v>
      </c>
      <c r="AC50" s="7">
        <f t="shared" si="3"/>
        <v>0</v>
      </c>
    </row>
    <row r="51" spans="2:29">
      <c r="B51" s="17"/>
      <c r="C51" s="14"/>
      <c r="D51" s="14"/>
      <c r="E51" s="18"/>
      <c r="F51" s="18"/>
      <c r="G51" s="1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C51" s="7"/>
    </row>
    <row r="52" spans="2:29" ht="12" thickBot="1">
      <c r="E52" s="8">
        <f>SUM(E8:E50)</f>
        <v>0</v>
      </c>
      <c r="F52" s="8">
        <f t="shared" ref="F52:AA52" si="5">SUM(F8:F50)</f>
        <v>0</v>
      </c>
      <c r="G52" s="8">
        <f t="shared" si="5"/>
        <v>0</v>
      </c>
      <c r="H52" s="8">
        <f t="shared" si="5"/>
        <v>0</v>
      </c>
      <c r="I52" s="8">
        <f t="shared" si="5"/>
        <v>0</v>
      </c>
      <c r="J52" s="8">
        <f t="shared" si="5"/>
        <v>0</v>
      </c>
      <c r="K52" s="8">
        <f t="shared" si="5"/>
        <v>0</v>
      </c>
      <c r="L52" s="8">
        <f t="shared" si="5"/>
        <v>0</v>
      </c>
      <c r="M52" s="8">
        <f t="shared" si="5"/>
        <v>0</v>
      </c>
      <c r="N52" s="8">
        <f t="shared" si="5"/>
        <v>0</v>
      </c>
      <c r="O52" s="8">
        <f t="shared" si="5"/>
        <v>0</v>
      </c>
      <c r="P52" s="8">
        <f t="shared" si="5"/>
        <v>0</v>
      </c>
      <c r="Q52" s="8">
        <f t="shared" si="5"/>
        <v>0</v>
      </c>
      <c r="R52" s="8">
        <f t="shared" si="5"/>
        <v>0</v>
      </c>
      <c r="S52" s="8">
        <f t="shared" si="5"/>
        <v>0</v>
      </c>
      <c r="T52" s="8">
        <f t="shared" si="5"/>
        <v>0</v>
      </c>
      <c r="U52" s="8">
        <f t="shared" si="5"/>
        <v>0</v>
      </c>
      <c r="V52" s="8">
        <f t="shared" si="5"/>
        <v>0</v>
      </c>
      <c r="W52" s="8">
        <f t="shared" si="5"/>
        <v>0</v>
      </c>
      <c r="X52" s="8">
        <f t="shared" si="5"/>
        <v>0</v>
      </c>
      <c r="Y52" s="8">
        <f t="shared" si="5"/>
        <v>0</v>
      </c>
      <c r="Z52" s="8">
        <f t="shared" si="5"/>
        <v>0</v>
      </c>
      <c r="AA52" s="8">
        <f t="shared" si="5"/>
        <v>0</v>
      </c>
      <c r="AC52" s="8">
        <f>SUM(AC10:AC50)</f>
        <v>0</v>
      </c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29" ht="12.75" thickBot="1">
      <c r="G54" s="1" t="s">
        <v>63</v>
      </c>
      <c r="H54" s="8">
        <f>(I52/2)-H52</f>
        <v>0</v>
      </c>
      <c r="I54" s="5">
        <f>I52/2</f>
        <v>0</v>
      </c>
      <c r="J54" s="5"/>
      <c r="K54" s="71" t="s">
        <v>170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 ht="12" thickTop="1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38"/>
      <c r="I56" s="5"/>
      <c r="J56" s="5"/>
      <c r="K56" s="5" t="s">
        <v>446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G57" s="7"/>
      <c r="I57" s="5"/>
      <c r="J57" s="5"/>
      <c r="K57" s="5" t="s">
        <v>447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G58" s="7"/>
      <c r="I58" s="20"/>
      <c r="J58" s="5"/>
      <c r="K58" s="5" t="s">
        <v>170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>
      <c r="I59" s="20"/>
      <c r="J59" s="20"/>
      <c r="K59" s="5" t="s">
        <v>448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9">
      <c r="I60" s="2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9" ht="12" thickBot="1">
      <c r="I61" s="20"/>
      <c r="K61" s="5" t="s">
        <v>63</v>
      </c>
      <c r="L61" s="8"/>
    </row>
    <row r="62" spans="2:29" ht="12" thickTop="1">
      <c r="I62" s="20"/>
    </row>
    <row r="63" spans="2:29">
      <c r="I63" s="7"/>
    </row>
    <row r="64" spans="2:29">
      <c r="I64" s="51">
        <v>1419415.3900000001</v>
      </c>
    </row>
    <row r="65" spans="9:9">
      <c r="I65" s="7"/>
    </row>
    <row r="67" spans="9:9">
      <c r="I67" s="7"/>
    </row>
  </sheetData>
  <mergeCells count="1">
    <mergeCell ref="I5:AA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7CE5-40AF-47DC-B05B-D88569E839F9}">
  <dimension ref="B2:AC67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2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657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17"/>
      <c r="C8" s="14"/>
      <c r="D8" s="23"/>
      <c r="E8" s="18"/>
      <c r="F8" s="18">
        <f t="shared" ref="F8:F40" si="0">E8*15/115</f>
        <v>0</v>
      </c>
      <c r="G8" s="18">
        <f t="shared" ref="G8:G41" si="1">E8-F8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f t="shared" ref="AA8:AA50" si="2">SUM(I8:Z8)</f>
        <v>0</v>
      </c>
      <c r="AC8" s="7">
        <f t="shared" ref="AC8:AC50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>
        <f t="shared" si="0"/>
        <v>0</v>
      </c>
      <c r="G32" s="18">
        <f t="shared" si="1"/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f t="shared" si="0"/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f t="shared" si="0"/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f t="shared" si="0"/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>
        <f t="shared" si="0"/>
        <v>0</v>
      </c>
      <c r="G36" s="18">
        <f t="shared" si="1"/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f t="shared" si="0"/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f t="shared" si="0"/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f t="shared" si="0"/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>
        <f t="shared" si="2"/>
        <v>0</v>
      </c>
      <c r="AC39" s="7">
        <f t="shared" si="3"/>
        <v>0</v>
      </c>
    </row>
    <row r="40" spans="2:29">
      <c r="B40" s="17"/>
      <c r="C40" s="14"/>
      <c r="D40" s="23"/>
      <c r="E40" s="18"/>
      <c r="F40" s="18">
        <f t="shared" si="0"/>
        <v>0</v>
      </c>
      <c r="G40" s="18">
        <f t="shared" si="1"/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2"/>
        <v>0</v>
      </c>
      <c r="AC40" s="7">
        <f t="shared" si="3"/>
        <v>0</v>
      </c>
    </row>
    <row r="41" spans="2:29">
      <c r="B41" s="17"/>
      <c r="C41" s="14"/>
      <c r="D41" s="23"/>
      <c r="E41" s="18"/>
      <c r="F41" s="18">
        <v>0</v>
      </c>
      <c r="G41" s="18">
        <f t="shared" si="1"/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2"/>
        <v>0</v>
      </c>
      <c r="AC41" s="7">
        <f t="shared" si="3"/>
        <v>0</v>
      </c>
    </row>
    <row r="42" spans="2:29">
      <c r="B42" s="17"/>
      <c r="C42" s="14"/>
      <c r="D42" s="23"/>
      <c r="E42" s="18"/>
      <c r="F42" s="18"/>
      <c r="G42" s="1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2"/>
        <v>0</v>
      </c>
      <c r="AC42" s="7">
        <f t="shared" si="3"/>
        <v>0</v>
      </c>
    </row>
    <row r="43" spans="2:29">
      <c r="B43" s="17"/>
      <c r="C43" s="14"/>
      <c r="D43" s="23"/>
      <c r="E43" s="18"/>
      <c r="F43" s="18"/>
      <c r="G43" s="1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2"/>
        <v>0</v>
      </c>
      <c r="AC43" s="7">
        <f t="shared" si="3"/>
        <v>0</v>
      </c>
    </row>
    <row r="44" spans="2:29">
      <c r="B44" s="17"/>
      <c r="C44" s="14"/>
      <c r="D44" s="23"/>
      <c r="E44" s="18"/>
      <c r="F44" s="18"/>
      <c r="G44" s="18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2"/>
        <v>0</v>
      </c>
      <c r="AC44" s="7">
        <f t="shared" si="3"/>
        <v>0</v>
      </c>
    </row>
    <row r="45" spans="2:29">
      <c r="B45" s="17"/>
      <c r="C45" s="14"/>
      <c r="D45" s="23"/>
      <c r="E45" s="18"/>
      <c r="F45" s="18"/>
      <c r="G45" s="1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2"/>
        <v>0</v>
      </c>
      <c r="AC45" s="7">
        <f t="shared" si="3"/>
        <v>0</v>
      </c>
    </row>
    <row r="46" spans="2:29">
      <c r="B46" s="17"/>
      <c r="C46" s="14"/>
      <c r="D46" s="23"/>
      <c r="E46" s="18"/>
      <c r="F46" s="18"/>
      <c r="G46" s="18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2"/>
        <v>0</v>
      </c>
      <c r="AC46" s="7">
        <f t="shared" si="3"/>
        <v>0</v>
      </c>
    </row>
    <row r="47" spans="2:29">
      <c r="B47" s="17"/>
      <c r="C47" s="14"/>
      <c r="D47" s="23"/>
      <c r="E47" s="18"/>
      <c r="F47" s="18"/>
      <c r="G47" s="18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2"/>
        <v>0</v>
      </c>
      <c r="AC47" s="7">
        <f t="shared" si="3"/>
        <v>0</v>
      </c>
    </row>
    <row r="48" spans="2:29">
      <c r="B48" s="17"/>
      <c r="C48" s="14"/>
      <c r="D48" s="23"/>
      <c r="E48" s="18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2"/>
        <v>0</v>
      </c>
      <c r="AC48" s="7">
        <f t="shared" si="3"/>
        <v>0</v>
      </c>
    </row>
    <row r="49" spans="2:29">
      <c r="B49" s="17"/>
      <c r="C49" s="14"/>
      <c r="D49" s="23"/>
      <c r="E49" s="26"/>
      <c r="F49" s="18"/>
      <c r="G49" s="18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>
        <f t="shared" si="2"/>
        <v>0</v>
      </c>
      <c r="AC49" s="7">
        <f t="shared" si="3"/>
        <v>0</v>
      </c>
    </row>
    <row r="50" spans="2:29">
      <c r="B50" s="17"/>
      <c r="C50" s="14"/>
      <c r="D50" s="23"/>
      <c r="E50" s="26"/>
      <c r="F50" s="18"/>
      <c r="G50" s="18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>
        <f t="shared" si="2"/>
        <v>0</v>
      </c>
      <c r="AC50" s="7">
        <f t="shared" si="3"/>
        <v>0</v>
      </c>
    </row>
    <row r="51" spans="2:29">
      <c r="B51" s="17"/>
      <c r="C51" s="14"/>
      <c r="D51" s="14"/>
      <c r="E51" s="18"/>
      <c r="F51" s="18"/>
      <c r="G51" s="1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C51" s="7"/>
    </row>
    <row r="52" spans="2:29" ht="12" thickBot="1">
      <c r="E52" s="8">
        <f>SUM(E8:E50)</f>
        <v>0</v>
      </c>
      <c r="F52" s="8">
        <f t="shared" ref="F52:AA52" si="4">SUM(F8:F50)</f>
        <v>0</v>
      </c>
      <c r="G52" s="8">
        <f t="shared" si="4"/>
        <v>0</v>
      </c>
      <c r="H52" s="8">
        <f t="shared" si="4"/>
        <v>0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0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</v>
      </c>
      <c r="R52" s="8">
        <f t="shared" si="4"/>
        <v>0</v>
      </c>
      <c r="S52" s="8">
        <f t="shared" si="4"/>
        <v>0</v>
      </c>
      <c r="T52" s="8">
        <f t="shared" si="4"/>
        <v>0</v>
      </c>
      <c r="U52" s="8">
        <f t="shared" si="4"/>
        <v>0</v>
      </c>
      <c r="V52" s="8">
        <f t="shared" si="4"/>
        <v>0</v>
      </c>
      <c r="W52" s="8">
        <f t="shared" si="4"/>
        <v>0</v>
      </c>
      <c r="X52" s="8">
        <f t="shared" si="4"/>
        <v>0</v>
      </c>
      <c r="Y52" s="8">
        <f t="shared" si="4"/>
        <v>0</v>
      </c>
      <c r="Z52" s="8">
        <f t="shared" si="4"/>
        <v>0</v>
      </c>
      <c r="AA52" s="8">
        <f t="shared" si="4"/>
        <v>0</v>
      </c>
      <c r="AC52" s="8">
        <f>SUM(AC10:AC50)</f>
        <v>0</v>
      </c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29" ht="12.75" thickBot="1">
      <c r="G54" s="1" t="s">
        <v>63</v>
      </c>
      <c r="H54" s="8">
        <f>(I52/2)-H52</f>
        <v>0</v>
      </c>
      <c r="I54" s="5">
        <f>I52/2</f>
        <v>0</v>
      </c>
      <c r="J54" s="5"/>
      <c r="K54" s="71" t="s">
        <v>170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 ht="12" thickTop="1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38"/>
      <c r="I56" s="5"/>
      <c r="J56" s="5"/>
      <c r="K56" s="5" t="s">
        <v>446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G57" s="7"/>
      <c r="I57" s="5"/>
      <c r="J57" s="5"/>
      <c r="K57" s="5" t="s">
        <v>447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G58" s="7"/>
      <c r="I58" s="20"/>
      <c r="J58" s="5"/>
      <c r="K58" s="5" t="s">
        <v>170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>
      <c r="I59" s="20"/>
      <c r="J59" s="20"/>
      <c r="K59" s="5" t="s">
        <v>448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9">
      <c r="I60" s="2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9" ht="12" thickBot="1">
      <c r="I61" s="20"/>
      <c r="K61" s="5" t="s">
        <v>63</v>
      </c>
      <c r="L61" s="8">
        <f>L58-SUM(I52:X52)</f>
        <v>0</v>
      </c>
    </row>
    <row r="62" spans="2:29" ht="12" thickTop="1">
      <c r="I62" s="20"/>
    </row>
    <row r="63" spans="2:29">
      <c r="I63" s="7"/>
    </row>
    <row r="64" spans="2:29">
      <c r="I64" s="51"/>
    </row>
    <row r="65" spans="9:9">
      <c r="I65" s="7"/>
    </row>
    <row r="67" spans="9:9">
      <c r="I67" s="7"/>
    </row>
  </sheetData>
  <mergeCells count="1">
    <mergeCell ref="I5:AA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B98-06D9-47AF-8D40-95DA0309F106}">
  <sheetPr>
    <pageSetUpPr fitToPage="1"/>
  </sheetPr>
  <dimension ref="B2:AG42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32.14062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8.7109375" style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8.28515625" style="1" bestFit="1" customWidth="1"/>
    <col min="34" max="16384" width="8.7109375" style="1"/>
  </cols>
  <sheetData>
    <row r="2" spans="2:33" ht="15.75">
      <c r="B2" s="2" t="s">
        <v>658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37" si="0">F6*15/115</f>
        <v>0</v>
      </c>
      <c r="H6" s="5">
        <f t="shared" ref="H6:H38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39" si="2">SUM(N6:AD6)</f>
        <v>0</v>
      </c>
      <c r="AF6" s="5"/>
      <c r="AG6" s="5">
        <f t="shared" ref="AG6:AG39" si="3">+AE6-H6</f>
        <v>0</v>
      </c>
    </row>
    <row r="7" spans="2:33">
      <c r="C7" s="6"/>
      <c r="F7" s="19"/>
      <c r="G7" s="5">
        <f>F7*15/115</f>
        <v>0</v>
      </c>
      <c r="H7" s="5">
        <f>F7-G7</f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/>
      <c r="G22" s="5">
        <f t="shared" si="0"/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>
        <f t="shared" si="3"/>
        <v>0</v>
      </c>
    </row>
    <row r="23" spans="3:33">
      <c r="C23" s="6"/>
      <c r="F23" s="19"/>
      <c r="G23" s="5">
        <f t="shared" si="0"/>
        <v>0</v>
      </c>
      <c r="H23" s="5">
        <f t="shared" si="1"/>
        <v>0</v>
      </c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2"/>
        <v>0</v>
      </c>
      <c r="AF23" s="5"/>
      <c r="AG23" s="5">
        <f t="shared" si="3"/>
        <v>0</v>
      </c>
    </row>
    <row r="24" spans="3:33">
      <c r="C24" s="6"/>
      <c r="F24" s="19"/>
      <c r="G24" s="5">
        <f t="shared" si="0"/>
        <v>0</v>
      </c>
      <c r="H24" s="5">
        <f t="shared" si="1"/>
        <v>0</v>
      </c>
      <c r="J24" s="6"/>
      <c r="K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f t="shared" si="2"/>
        <v>0</v>
      </c>
      <c r="AF24" s="5"/>
      <c r="AG24" s="5">
        <f t="shared" si="3"/>
        <v>0</v>
      </c>
    </row>
    <row r="25" spans="3:33">
      <c r="C25" s="6"/>
      <c r="F25" s="19"/>
      <c r="G25" s="5">
        <f t="shared" si="0"/>
        <v>0</v>
      </c>
      <c r="H25" s="5">
        <f t="shared" si="1"/>
        <v>0</v>
      </c>
      <c r="J25" s="6"/>
      <c r="K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f t="shared" si="2"/>
        <v>0</v>
      </c>
      <c r="AF25" s="5"/>
      <c r="AG25" s="5">
        <f t="shared" si="3"/>
        <v>0</v>
      </c>
    </row>
    <row r="26" spans="3:33">
      <c r="C26" s="6"/>
      <c r="F26" s="19"/>
      <c r="G26" s="5">
        <f t="shared" si="0"/>
        <v>0</v>
      </c>
      <c r="H26" s="5">
        <f t="shared" si="1"/>
        <v>0</v>
      </c>
      <c r="J26" s="6"/>
      <c r="K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f t="shared" si="2"/>
        <v>0</v>
      </c>
      <c r="AF26" s="5"/>
      <c r="AG26" s="5">
        <f t="shared" si="3"/>
        <v>0</v>
      </c>
    </row>
    <row r="27" spans="3:33">
      <c r="C27" s="6"/>
      <c r="F27" s="19"/>
      <c r="G27" s="5">
        <f t="shared" si="0"/>
        <v>0</v>
      </c>
      <c r="H27" s="5">
        <f t="shared" si="1"/>
        <v>0</v>
      </c>
      <c r="J27" s="6"/>
      <c r="K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f t="shared" si="2"/>
        <v>0</v>
      </c>
      <c r="AF27" s="5"/>
      <c r="AG27" s="5">
        <f t="shared" si="3"/>
        <v>0</v>
      </c>
    </row>
    <row r="28" spans="3:33">
      <c r="C28" s="6"/>
      <c r="F28" s="19"/>
      <c r="G28" s="5">
        <f t="shared" si="0"/>
        <v>0</v>
      </c>
      <c r="H28" s="5">
        <f t="shared" si="1"/>
        <v>0</v>
      </c>
      <c r="J28" s="6"/>
      <c r="K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f t="shared" si="2"/>
        <v>0</v>
      </c>
      <c r="AF28" s="5"/>
      <c r="AG28" s="5">
        <f t="shared" si="3"/>
        <v>0</v>
      </c>
    </row>
    <row r="29" spans="3:33">
      <c r="C29" s="6"/>
      <c r="F29" s="19"/>
      <c r="G29" s="5">
        <f t="shared" si="0"/>
        <v>0</v>
      </c>
      <c r="H29" s="5">
        <f t="shared" si="1"/>
        <v>0</v>
      </c>
      <c r="J29" s="6"/>
      <c r="K29" s="5"/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>
        <f t="shared" si="2"/>
        <v>0</v>
      </c>
      <c r="AF29" s="5"/>
      <c r="AG29" s="5">
        <f t="shared" si="3"/>
        <v>0</v>
      </c>
    </row>
    <row r="30" spans="3:33">
      <c r="C30" s="6"/>
      <c r="F30" s="19"/>
      <c r="G30" s="5">
        <f t="shared" si="0"/>
        <v>0</v>
      </c>
      <c r="H30" s="5">
        <f t="shared" si="1"/>
        <v>0</v>
      </c>
      <c r="J30" s="6"/>
      <c r="K30" s="5"/>
      <c r="L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f t="shared" si="2"/>
        <v>0</v>
      </c>
      <c r="AF30" s="5"/>
      <c r="AG30" s="5">
        <f t="shared" si="3"/>
        <v>0</v>
      </c>
    </row>
    <row r="31" spans="3:33">
      <c r="C31" s="6"/>
      <c r="F31" s="19"/>
      <c r="G31" s="5">
        <f t="shared" si="0"/>
        <v>0</v>
      </c>
      <c r="H31" s="5">
        <f t="shared" si="1"/>
        <v>0</v>
      </c>
      <c r="J31" s="6"/>
      <c r="K31" s="5"/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 t="shared" si="2"/>
        <v>0</v>
      </c>
      <c r="AF31" s="5"/>
      <c r="AG31" s="5">
        <f t="shared" si="3"/>
        <v>0</v>
      </c>
    </row>
    <row r="32" spans="3:33">
      <c r="C32" s="6"/>
      <c r="F32" s="19"/>
      <c r="G32" s="5">
        <f t="shared" si="0"/>
        <v>0</v>
      </c>
      <c r="H32" s="5">
        <f t="shared" si="1"/>
        <v>0</v>
      </c>
      <c r="J32" s="6"/>
      <c r="K32" s="5"/>
      <c r="L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f t="shared" si="2"/>
        <v>0</v>
      </c>
      <c r="AF32" s="5"/>
      <c r="AG32" s="5">
        <f t="shared" si="3"/>
        <v>0</v>
      </c>
    </row>
    <row r="33" spans="3:33">
      <c r="C33" s="6"/>
      <c r="F33" s="19"/>
      <c r="G33" s="5">
        <f t="shared" si="0"/>
        <v>0</v>
      </c>
      <c r="H33" s="5">
        <f t="shared" si="1"/>
        <v>0</v>
      </c>
      <c r="J33" s="6"/>
      <c r="K33" s="5"/>
      <c r="L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f t="shared" si="2"/>
        <v>0</v>
      </c>
      <c r="AF33" s="5"/>
      <c r="AG33" s="5">
        <f t="shared" si="3"/>
        <v>0</v>
      </c>
    </row>
    <row r="34" spans="3:33">
      <c r="C34" s="6"/>
      <c r="F34" s="19"/>
      <c r="G34" s="5">
        <f t="shared" si="0"/>
        <v>0</v>
      </c>
      <c r="H34" s="5">
        <f t="shared" si="1"/>
        <v>0</v>
      </c>
      <c r="J34" s="6"/>
      <c r="K34" s="5"/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f t="shared" si="2"/>
        <v>0</v>
      </c>
      <c r="AF34" s="5"/>
      <c r="AG34" s="5">
        <f t="shared" si="3"/>
        <v>0</v>
      </c>
    </row>
    <row r="35" spans="3:33">
      <c r="C35" s="6"/>
      <c r="F35" s="19"/>
      <c r="G35" s="5">
        <f t="shared" si="0"/>
        <v>0</v>
      </c>
      <c r="H35" s="5">
        <f t="shared" si="1"/>
        <v>0</v>
      </c>
      <c r="J35" s="6"/>
      <c r="K35" s="5"/>
      <c r="L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si="2"/>
        <v>0</v>
      </c>
      <c r="AF35" s="5"/>
      <c r="AG35" s="5">
        <f t="shared" si="3"/>
        <v>0</v>
      </c>
    </row>
    <row r="36" spans="3:33">
      <c r="C36" s="6"/>
      <c r="F36" s="19"/>
      <c r="G36" s="5">
        <f t="shared" si="0"/>
        <v>0</v>
      </c>
      <c r="H36" s="5">
        <f t="shared" si="1"/>
        <v>0</v>
      </c>
      <c r="J36" s="6"/>
      <c r="K36" s="5"/>
      <c r="L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 t="shared" si="2"/>
        <v>0</v>
      </c>
      <c r="AF36" s="5"/>
      <c r="AG36" s="5">
        <f t="shared" si="3"/>
        <v>0</v>
      </c>
    </row>
    <row r="37" spans="3:33">
      <c r="C37" s="6"/>
      <c r="F37" s="19"/>
      <c r="G37" s="5">
        <f t="shared" si="0"/>
        <v>0</v>
      </c>
      <c r="H37" s="5">
        <f t="shared" si="1"/>
        <v>0</v>
      </c>
      <c r="J37" s="6"/>
      <c r="K37" s="5"/>
      <c r="L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f t="shared" si="2"/>
        <v>0</v>
      </c>
      <c r="AF37" s="5"/>
      <c r="AG37" s="5">
        <f t="shared" si="3"/>
        <v>0</v>
      </c>
    </row>
    <row r="38" spans="3:33">
      <c r="C38" s="6"/>
      <c r="F38" s="19"/>
      <c r="G38" s="5">
        <v>0</v>
      </c>
      <c r="H38" s="5">
        <f t="shared" si="1"/>
        <v>0</v>
      </c>
      <c r="J38" s="6"/>
      <c r="K38" s="5"/>
      <c r="L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f t="shared" si="2"/>
        <v>0</v>
      </c>
      <c r="AF38" s="5"/>
      <c r="AG38" s="5">
        <f t="shared" si="3"/>
        <v>0</v>
      </c>
    </row>
    <row r="39" spans="3:33">
      <c r="C39" s="6"/>
      <c r="F39" s="19"/>
      <c r="G39" s="5"/>
      <c r="H39" s="5"/>
      <c r="J39" s="6"/>
      <c r="K39" s="5"/>
      <c r="L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f t="shared" si="2"/>
        <v>0</v>
      </c>
      <c r="AF39" s="5"/>
      <c r="AG39" s="5">
        <f t="shared" si="3"/>
        <v>0</v>
      </c>
    </row>
    <row r="40" spans="3:33"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 ht="12" thickBot="1">
      <c r="F41" s="8">
        <f>SUM(F6:F40)</f>
        <v>0</v>
      </c>
      <c r="G41" s="8">
        <f>SUM(G6:G40)</f>
        <v>0</v>
      </c>
      <c r="H41" s="8">
        <f>SUM(H6:H40)</f>
        <v>0</v>
      </c>
      <c r="K41" s="8">
        <f>SUM(K6:K40)</f>
        <v>0</v>
      </c>
      <c r="N41" s="8">
        <f>SUM(N6:N40)</f>
        <v>0</v>
      </c>
      <c r="O41" s="8">
        <f t="shared" ref="O41:AG41" si="4">SUM(O6:O40)</f>
        <v>0</v>
      </c>
      <c r="P41" s="8">
        <f t="shared" si="4"/>
        <v>0</v>
      </c>
      <c r="Q41" s="8">
        <f t="shared" si="4"/>
        <v>0</v>
      </c>
      <c r="R41" s="8">
        <f t="shared" si="4"/>
        <v>0</v>
      </c>
      <c r="S41" s="8">
        <f t="shared" si="4"/>
        <v>0</v>
      </c>
      <c r="T41" s="8">
        <f t="shared" si="4"/>
        <v>0</v>
      </c>
      <c r="U41" s="8">
        <f t="shared" si="4"/>
        <v>0</v>
      </c>
      <c r="V41" s="8">
        <f t="shared" si="4"/>
        <v>0</v>
      </c>
      <c r="W41" s="8">
        <f t="shared" si="4"/>
        <v>0</v>
      </c>
      <c r="X41" s="8">
        <f t="shared" si="4"/>
        <v>0</v>
      </c>
      <c r="Y41" s="8">
        <f t="shared" si="4"/>
        <v>0</v>
      </c>
      <c r="Z41" s="8">
        <f t="shared" si="4"/>
        <v>0</v>
      </c>
      <c r="AA41" s="8">
        <f t="shared" si="4"/>
        <v>0</v>
      </c>
      <c r="AB41" s="8">
        <f t="shared" si="4"/>
        <v>0</v>
      </c>
      <c r="AC41" s="8">
        <f t="shared" si="4"/>
        <v>0</v>
      </c>
      <c r="AD41" s="8">
        <f t="shared" si="4"/>
        <v>0</v>
      </c>
      <c r="AE41" s="8">
        <f t="shared" si="4"/>
        <v>0</v>
      </c>
      <c r="AF41" s="8">
        <f t="shared" si="4"/>
        <v>0</v>
      </c>
      <c r="AG41" s="8">
        <f t="shared" si="4"/>
        <v>0</v>
      </c>
    </row>
    <row r="42" spans="3:33" ht="12" thickTop="1"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</sheetData>
  <mergeCells count="1">
    <mergeCell ref="N3:AE3"/>
  </mergeCells>
  <pageMargins left="0.7" right="0.7" top="0.75" bottom="0.75" header="0.3" footer="0.3"/>
  <pageSetup scale="1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1B8B-6594-4314-BE6E-B8309F52FD32}">
  <dimension ref="B2:AC63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2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659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17"/>
      <c r="C8" s="14"/>
      <c r="D8" s="23"/>
      <c r="E8" s="18"/>
      <c r="F8" s="18">
        <f t="shared" ref="F8:F37" si="0">E8*15/115</f>
        <v>0</v>
      </c>
      <c r="G8" s="18">
        <f t="shared" ref="G8:G41" si="1">E8-F8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C8" s="7">
        <f t="shared" ref="AC8:AC46" si="2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C9" s="7">
        <f t="shared" si="2"/>
        <v>0</v>
      </c>
    </row>
    <row r="10" spans="2:29">
      <c r="B10" s="17"/>
      <c r="C10" s="14"/>
      <c r="D10" s="23"/>
      <c r="E10" s="18"/>
      <c r="F10" s="18"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C10" s="7">
        <f t="shared" si="2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C11" s="7">
        <f t="shared" si="2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C12" s="7">
        <f t="shared" si="2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C13" s="7">
        <f t="shared" si="2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C14" s="7">
        <f t="shared" si="2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C15" s="7">
        <f t="shared" si="2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7">
        <f t="shared" si="2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C17" s="7">
        <f t="shared" si="2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C18" s="7">
        <f t="shared" si="2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7">
        <f t="shared" si="2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C20" s="7">
        <f t="shared" si="2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C21" s="7">
        <f t="shared" si="2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C22" s="7">
        <f t="shared" si="2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C23" s="7">
        <f t="shared" si="2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C24" s="7">
        <f t="shared" si="2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C25" s="7">
        <f t="shared" si="2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C26" s="7">
        <f t="shared" si="2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C27" s="7">
        <f t="shared" si="2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7">
        <f t="shared" si="2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C29" s="7">
        <f t="shared" si="2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C30" s="7">
        <f t="shared" si="2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C31" s="7">
        <f t="shared" si="2"/>
        <v>0</v>
      </c>
    </row>
    <row r="32" spans="2:29">
      <c r="B32" s="17"/>
      <c r="C32" s="14"/>
      <c r="D32" s="23"/>
      <c r="E32" s="18"/>
      <c r="F32" s="18">
        <f t="shared" si="0"/>
        <v>0</v>
      </c>
      <c r="G32" s="18">
        <f t="shared" si="1"/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C32" s="7">
        <f t="shared" si="2"/>
        <v>0</v>
      </c>
    </row>
    <row r="33" spans="2:29">
      <c r="B33" s="17"/>
      <c r="C33" s="14"/>
      <c r="D33" s="23"/>
      <c r="E33" s="18"/>
      <c r="F33" s="18">
        <f t="shared" si="0"/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C33" s="7">
        <f t="shared" si="2"/>
        <v>0</v>
      </c>
    </row>
    <row r="34" spans="2:29">
      <c r="B34" s="17"/>
      <c r="C34" s="14"/>
      <c r="D34" s="23"/>
      <c r="E34" s="18"/>
      <c r="F34" s="18">
        <v>0</v>
      </c>
      <c r="G34" s="18">
        <f t="shared" si="1"/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C34" s="7">
        <f t="shared" si="2"/>
        <v>0</v>
      </c>
    </row>
    <row r="35" spans="2:29">
      <c r="B35" s="17"/>
      <c r="C35" s="14"/>
      <c r="D35" s="23"/>
      <c r="E35" s="18"/>
      <c r="F35" s="18">
        <f t="shared" si="0"/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C35" s="7">
        <f t="shared" si="2"/>
        <v>0</v>
      </c>
    </row>
    <row r="36" spans="2:29">
      <c r="B36" s="17"/>
      <c r="C36" s="14"/>
      <c r="D36" s="23"/>
      <c r="E36" s="18"/>
      <c r="F36" s="18">
        <f t="shared" si="0"/>
        <v>0</v>
      </c>
      <c r="G36" s="18">
        <f t="shared" si="1"/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C36" s="7">
        <f t="shared" si="2"/>
        <v>0</v>
      </c>
    </row>
    <row r="37" spans="2:29">
      <c r="B37" s="17"/>
      <c r="C37" s="14"/>
      <c r="D37" s="23"/>
      <c r="E37" s="18"/>
      <c r="F37" s="18">
        <f t="shared" si="0"/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C37" s="7">
        <f t="shared" si="2"/>
        <v>0</v>
      </c>
    </row>
    <row r="38" spans="2:29">
      <c r="B38" s="17"/>
      <c r="C38" s="14"/>
      <c r="D38" s="23"/>
      <c r="E38" s="18"/>
      <c r="F38" s="18">
        <v>0</v>
      </c>
      <c r="G38" s="18">
        <f t="shared" si="1"/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C38" s="7">
        <f t="shared" si="2"/>
        <v>0</v>
      </c>
    </row>
    <row r="39" spans="2:29">
      <c r="B39" s="17"/>
      <c r="C39" s="14"/>
      <c r="D39" s="23"/>
      <c r="E39" s="18"/>
      <c r="F39" s="18">
        <v>0</v>
      </c>
      <c r="G39" s="18">
        <f t="shared" si="1"/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C39" s="7">
        <f t="shared" si="2"/>
        <v>0</v>
      </c>
    </row>
    <row r="40" spans="2:29">
      <c r="B40" s="17"/>
      <c r="C40" s="14"/>
      <c r="D40" s="23"/>
      <c r="E40" s="18"/>
      <c r="F40" s="18"/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C40" s="7">
        <f t="shared" si="2"/>
        <v>0</v>
      </c>
    </row>
    <row r="41" spans="2:29">
      <c r="B41" s="17"/>
      <c r="C41" s="14"/>
      <c r="D41" s="23"/>
      <c r="E41" s="18"/>
      <c r="F41" s="18"/>
      <c r="G41" s="18">
        <f t="shared" si="1"/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C41" s="7">
        <f t="shared" si="2"/>
        <v>0</v>
      </c>
    </row>
    <row r="42" spans="2:29">
      <c r="B42" s="17"/>
      <c r="C42" s="14"/>
      <c r="D42" s="23"/>
      <c r="E42" s="18"/>
      <c r="F42" s="18"/>
      <c r="G42" s="18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C42" s="7">
        <f t="shared" si="2"/>
        <v>0</v>
      </c>
    </row>
    <row r="43" spans="2:29">
      <c r="B43" s="17"/>
      <c r="C43" s="14"/>
      <c r="D43" s="23"/>
      <c r="E43" s="18"/>
      <c r="F43" s="18"/>
      <c r="G43" s="18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C43" s="7">
        <f t="shared" si="2"/>
        <v>0</v>
      </c>
    </row>
    <row r="44" spans="2:29">
      <c r="B44" s="17"/>
      <c r="C44" s="14"/>
      <c r="D44" s="23"/>
      <c r="E44" s="18"/>
      <c r="F44" s="18"/>
      <c r="G44" s="18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C44" s="7">
        <f t="shared" si="2"/>
        <v>0</v>
      </c>
    </row>
    <row r="45" spans="2:29">
      <c r="B45" s="17"/>
      <c r="C45" s="14"/>
      <c r="D45" s="23"/>
      <c r="E45" s="26"/>
      <c r="F45" s="18"/>
      <c r="G45" s="18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C45" s="7">
        <f t="shared" si="2"/>
        <v>0</v>
      </c>
    </row>
    <row r="46" spans="2:29">
      <c r="B46" s="17"/>
      <c r="C46" s="14"/>
      <c r="D46" s="23"/>
      <c r="E46" s="26"/>
      <c r="F46" s="18"/>
      <c r="G46" s="18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C46" s="7">
        <f t="shared" si="2"/>
        <v>0</v>
      </c>
    </row>
    <row r="47" spans="2:29">
      <c r="B47" s="17"/>
      <c r="C47" s="14"/>
      <c r="D47" s="14"/>
      <c r="E47" s="18"/>
      <c r="F47" s="18"/>
      <c r="G47" s="1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C47" s="7"/>
    </row>
    <row r="48" spans="2:29" ht="12" thickBot="1">
      <c r="E48" s="8">
        <f>SUM(E8:E46)</f>
        <v>0</v>
      </c>
      <c r="F48" s="8">
        <f t="shared" ref="F48:AA48" si="3">SUM(F8:F46)</f>
        <v>0</v>
      </c>
      <c r="G48" s="8">
        <f t="shared" si="3"/>
        <v>0</v>
      </c>
      <c r="H48" s="8">
        <f t="shared" si="3"/>
        <v>0</v>
      </c>
      <c r="I48" s="8">
        <f t="shared" si="3"/>
        <v>0</v>
      </c>
      <c r="J48" s="8">
        <f t="shared" si="3"/>
        <v>0</v>
      </c>
      <c r="K48" s="8">
        <f t="shared" si="3"/>
        <v>0</v>
      </c>
      <c r="L48" s="8">
        <f t="shared" si="3"/>
        <v>0</v>
      </c>
      <c r="M48" s="8">
        <f t="shared" si="3"/>
        <v>0</v>
      </c>
      <c r="N48" s="8">
        <f t="shared" si="3"/>
        <v>0</v>
      </c>
      <c r="O48" s="8">
        <f t="shared" si="3"/>
        <v>0</v>
      </c>
      <c r="P48" s="8">
        <f t="shared" si="3"/>
        <v>0</v>
      </c>
      <c r="Q48" s="8">
        <f t="shared" si="3"/>
        <v>0</v>
      </c>
      <c r="R48" s="8">
        <f t="shared" si="3"/>
        <v>0</v>
      </c>
      <c r="S48" s="8">
        <f t="shared" si="3"/>
        <v>0</v>
      </c>
      <c r="T48" s="8">
        <f t="shared" si="3"/>
        <v>0</v>
      </c>
      <c r="U48" s="8">
        <f t="shared" si="3"/>
        <v>0</v>
      </c>
      <c r="V48" s="8">
        <f t="shared" si="3"/>
        <v>0</v>
      </c>
      <c r="W48" s="8">
        <f t="shared" si="3"/>
        <v>0</v>
      </c>
      <c r="X48" s="8">
        <f t="shared" si="3"/>
        <v>0</v>
      </c>
      <c r="Y48" s="8">
        <f t="shared" si="3"/>
        <v>0</v>
      </c>
      <c r="Z48" s="8">
        <f t="shared" si="3"/>
        <v>0</v>
      </c>
      <c r="AA48" s="8">
        <f t="shared" si="3"/>
        <v>0</v>
      </c>
      <c r="AC48" s="8">
        <f>SUM(AC10:AC46)</f>
        <v>0</v>
      </c>
    </row>
    <row r="49" spans="7:28" ht="12" thickTop="1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7:28" ht="12.75" thickBot="1">
      <c r="G50" s="1" t="s">
        <v>63</v>
      </c>
      <c r="H50" s="8">
        <f>(I48/2)-H48</f>
        <v>0</v>
      </c>
      <c r="I50" s="5">
        <f>I48/2</f>
        <v>0</v>
      </c>
      <c r="J50" s="5"/>
      <c r="K50" s="71" t="s">
        <v>170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7:28" ht="12" thickTop="1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7:28">
      <c r="G52" s="38"/>
      <c r="I52" s="5"/>
      <c r="J52" s="5"/>
      <c r="K52" s="5" t="s">
        <v>446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7:28">
      <c r="G53" s="7"/>
      <c r="I53" s="5"/>
      <c r="J53" s="5"/>
      <c r="K53" s="5" t="s">
        <v>447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7:28">
      <c r="G54" s="7"/>
      <c r="I54" s="20"/>
      <c r="J54" s="5"/>
      <c r="K54" s="5" t="s">
        <v>170</v>
      </c>
      <c r="L54" s="5">
        <v>3470858.23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7:28">
      <c r="I55" s="20"/>
      <c r="J55" s="20"/>
      <c r="K55" s="5" t="s">
        <v>448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7:28">
      <c r="I56" s="2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7:28" ht="12" thickBot="1">
      <c r="I57" s="20"/>
      <c r="K57" s="5" t="s">
        <v>63</v>
      </c>
      <c r="L57" s="8">
        <f>L54-SUM(I48:X48)</f>
        <v>3470858.23</v>
      </c>
    </row>
    <row r="58" spans="7:28" ht="12" thickTop="1">
      <c r="I58" s="20"/>
    </row>
    <row r="59" spans="7:28">
      <c r="I59" s="7"/>
    </row>
    <row r="60" spans="7:28">
      <c r="I60" s="51">
        <v>1411359.14</v>
      </c>
    </row>
    <row r="61" spans="7:28">
      <c r="I61" s="7"/>
    </row>
    <row r="63" spans="7:28">
      <c r="I63" s="7"/>
    </row>
  </sheetData>
  <mergeCells count="1">
    <mergeCell ref="I5:AA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EAD3-022D-41FB-8BA9-E072C857B687}">
  <sheetPr>
    <pageSetUpPr fitToPage="1"/>
  </sheetPr>
  <dimension ref="B2:AG41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18.2851562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8.7109375" style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8.28515625" style="1" bestFit="1" customWidth="1"/>
    <col min="34" max="16384" width="8.7109375" style="1"/>
  </cols>
  <sheetData>
    <row r="2" spans="2:33" ht="15.75">
      <c r="B2" s="2" t="s">
        <v>660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37" si="0">F6*15/115</f>
        <v>0</v>
      </c>
      <c r="H6" s="5">
        <f t="shared" ref="H6:H37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38" si="2">SUM(N6:AD6)</f>
        <v>0</v>
      </c>
      <c r="AF6" s="5"/>
      <c r="AG6" s="5">
        <f t="shared" ref="AG6:AG37" si="3">+AE6-H6</f>
        <v>0</v>
      </c>
    </row>
    <row r="7" spans="2:33">
      <c r="C7" s="6"/>
      <c r="F7" s="19"/>
      <c r="G7" s="5">
        <f t="shared" si="0"/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/>
      <c r="G22" s="5">
        <f t="shared" si="0"/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>
        <f t="shared" si="3"/>
        <v>0</v>
      </c>
    </row>
    <row r="23" spans="3:33">
      <c r="C23" s="6"/>
      <c r="F23" s="19"/>
      <c r="G23" s="5">
        <f t="shared" si="0"/>
        <v>0</v>
      </c>
      <c r="H23" s="5">
        <f t="shared" si="1"/>
        <v>0</v>
      </c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2"/>
        <v>0</v>
      </c>
      <c r="AF23" s="5"/>
      <c r="AG23" s="5">
        <f t="shared" si="3"/>
        <v>0</v>
      </c>
    </row>
    <row r="24" spans="3:33">
      <c r="C24" s="6"/>
      <c r="F24" s="19"/>
      <c r="G24" s="5">
        <f t="shared" si="0"/>
        <v>0</v>
      </c>
      <c r="H24" s="5">
        <f t="shared" si="1"/>
        <v>0</v>
      </c>
      <c r="J24" s="6"/>
      <c r="K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f t="shared" si="2"/>
        <v>0</v>
      </c>
      <c r="AF24" s="5"/>
      <c r="AG24" s="5">
        <f t="shared" si="3"/>
        <v>0</v>
      </c>
    </row>
    <row r="25" spans="3:33">
      <c r="C25" s="6"/>
      <c r="F25" s="19"/>
      <c r="G25" s="5">
        <f t="shared" si="0"/>
        <v>0</v>
      </c>
      <c r="H25" s="5">
        <f t="shared" si="1"/>
        <v>0</v>
      </c>
      <c r="J25" s="6"/>
      <c r="K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f t="shared" si="2"/>
        <v>0</v>
      </c>
      <c r="AF25" s="5"/>
      <c r="AG25" s="5">
        <f t="shared" si="3"/>
        <v>0</v>
      </c>
    </row>
    <row r="26" spans="3:33">
      <c r="C26" s="6"/>
      <c r="F26" s="19"/>
      <c r="G26" s="5">
        <f t="shared" si="0"/>
        <v>0</v>
      </c>
      <c r="H26" s="5">
        <f t="shared" si="1"/>
        <v>0</v>
      </c>
      <c r="J26" s="6"/>
      <c r="K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f t="shared" si="2"/>
        <v>0</v>
      </c>
      <c r="AF26" s="5"/>
      <c r="AG26" s="5">
        <f t="shared" si="3"/>
        <v>0</v>
      </c>
    </row>
    <row r="27" spans="3:33">
      <c r="C27" s="6"/>
      <c r="F27" s="19"/>
      <c r="G27" s="5">
        <f t="shared" si="0"/>
        <v>0</v>
      </c>
      <c r="H27" s="5">
        <f t="shared" si="1"/>
        <v>0</v>
      </c>
      <c r="J27" s="6"/>
      <c r="K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f t="shared" si="2"/>
        <v>0</v>
      </c>
      <c r="AF27" s="5"/>
      <c r="AG27" s="5">
        <f t="shared" si="3"/>
        <v>0</v>
      </c>
    </row>
    <row r="28" spans="3:33">
      <c r="C28" s="6"/>
      <c r="F28" s="19"/>
      <c r="G28" s="5">
        <f t="shared" si="0"/>
        <v>0</v>
      </c>
      <c r="H28" s="5">
        <f t="shared" si="1"/>
        <v>0</v>
      </c>
      <c r="J28" s="6"/>
      <c r="K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f t="shared" si="2"/>
        <v>0</v>
      </c>
      <c r="AF28" s="5"/>
      <c r="AG28" s="5">
        <f t="shared" si="3"/>
        <v>0</v>
      </c>
    </row>
    <row r="29" spans="3:33">
      <c r="C29" s="6"/>
      <c r="F29" s="19"/>
      <c r="G29" s="5">
        <f t="shared" si="0"/>
        <v>0</v>
      </c>
      <c r="H29" s="5">
        <f t="shared" si="1"/>
        <v>0</v>
      </c>
      <c r="J29" s="6"/>
      <c r="K29" s="5"/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>
        <f t="shared" si="2"/>
        <v>0</v>
      </c>
      <c r="AF29" s="5"/>
      <c r="AG29" s="5">
        <f t="shared" si="3"/>
        <v>0</v>
      </c>
    </row>
    <row r="30" spans="3:33">
      <c r="C30" s="6"/>
      <c r="F30" s="19"/>
      <c r="G30" s="5">
        <f t="shared" si="0"/>
        <v>0</v>
      </c>
      <c r="H30" s="5">
        <f t="shared" si="1"/>
        <v>0</v>
      </c>
      <c r="J30" s="6"/>
      <c r="K30" s="5"/>
      <c r="L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f t="shared" si="2"/>
        <v>0</v>
      </c>
      <c r="AF30" s="5"/>
      <c r="AG30" s="5">
        <f t="shared" si="3"/>
        <v>0</v>
      </c>
    </row>
    <row r="31" spans="3:33">
      <c r="C31" s="6"/>
      <c r="F31" s="19"/>
      <c r="G31" s="5">
        <v>0</v>
      </c>
      <c r="H31" s="5">
        <f t="shared" si="1"/>
        <v>0</v>
      </c>
      <c r="J31" s="6"/>
      <c r="K31" s="5"/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 t="shared" si="2"/>
        <v>0</v>
      </c>
      <c r="AF31" s="5"/>
      <c r="AG31" s="5">
        <f t="shared" si="3"/>
        <v>0</v>
      </c>
    </row>
    <row r="32" spans="3:33">
      <c r="C32" s="6"/>
      <c r="F32" s="19"/>
      <c r="G32" s="5">
        <f t="shared" si="0"/>
        <v>0</v>
      </c>
      <c r="H32" s="5">
        <f t="shared" si="1"/>
        <v>0</v>
      </c>
      <c r="J32" s="6"/>
      <c r="K32" s="5"/>
      <c r="L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f t="shared" si="2"/>
        <v>0</v>
      </c>
      <c r="AF32" s="5"/>
      <c r="AG32" s="5">
        <f t="shared" si="3"/>
        <v>0</v>
      </c>
    </row>
    <row r="33" spans="2:33">
      <c r="C33" s="6"/>
      <c r="F33" s="19"/>
      <c r="G33" s="5">
        <f t="shared" si="0"/>
        <v>0</v>
      </c>
      <c r="H33" s="5">
        <f t="shared" si="1"/>
        <v>0</v>
      </c>
      <c r="J33" s="6"/>
      <c r="K33" s="5"/>
      <c r="L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f t="shared" si="2"/>
        <v>0</v>
      </c>
      <c r="AF33" s="5"/>
      <c r="AG33" s="5">
        <f t="shared" si="3"/>
        <v>0</v>
      </c>
    </row>
    <row r="34" spans="2:33">
      <c r="C34" s="6"/>
      <c r="F34" s="19"/>
      <c r="G34" s="5">
        <f t="shared" si="0"/>
        <v>0</v>
      </c>
      <c r="H34" s="5">
        <f t="shared" si="1"/>
        <v>0</v>
      </c>
      <c r="J34" s="6"/>
      <c r="K34" s="5"/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f t="shared" si="2"/>
        <v>0</v>
      </c>
      <c r="AF34" s="5"/>
      <c r="AG34" s="5">
        <f t="shared" si="3"/>
        <v>0</v>
      </c>
    </row>
    <row r="35" spans="2:33">
      <c r="C35" s="6"/>
      <c r="F35" s="19"/>
      <c r="G35" s="5">
        <f t="shared" si="0"/>
        <v>0</v>
      </c>
      <c r="H35" s="5">
        <f t="shared" si="1"/>
        <v>0</v>
      </c>
      <c r="J35" s="6"/>
      <c r="K35" s="5"/>
      <c r="L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si="2"/>
        <v>0</v>
      </c>
      <c r="AF35" s="5"/>
      <c r="AG35" s="5">
        <f t="shared" si="3"/>
        <v>0</v>
      </c>
    </row>
    <row r="36" spans="2:33">
      <c r="C36" s="6"/>
      <c r="F36" s="19"/>
      <c r="G36" s="5">
        <f t="shared" si="0"/>
        <v>0</v>
      </c>
      <c r="H36" s="5">
        <f t="shared" si="1"/>
        <v>0</v>
      </c>
      <c r="J36" s="6"/>
      <c r="K36" s="5"/>
      <c r="L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 t="shared" si="2"/>
        <v>0</v>
      </c>
      <c r="AF36" s="5"/>
      <c r="AG36" s="5">
        <f t="shared" si="3"/>
        <v>0</v>
      </c>
    </row>
    <row r="37" spans="2:33">
      <c r="C37" s="6"/>
      <c r="F37" s="19"/>
      <c r="G37" s="5">
        <f t="shared" si="0"/>
        <v>0</v>
      </c>
      <c r="H37" s="5">
        <f t="shared" si="1"/>
        <v>0</v>
      </c>
      <c r="J37" s="6"/>
      <c r="K37" s="5"/>
      <c r="L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f t="shared" si="2"/>
        <v>0</v>
      </c>
      <c r="AF37" s="5"/>
      <c r="AG37" s="5">
        <f t="shared" si="3"/>
        <v>0</v>
      </c>
    </row>
    <row r="38" spans="2:33">
      <c r="B38" s="45"/>
      <c r="C38" s="46"/>
      <c r="D38" s="47"/>
      <c r="E38" s="47"/>
      <c r="F38" s="48"/>
      <c r="G38" s="49"/>
      <c r="H38" s="49">
        <v>0</v>
      </c>
      <c r="I38" s="47"/>
      <c r="J38" s="46"/>
      <c r="K38" s="49"/>
      <c r="L38" s="50"/>
      <c r="M38" s="47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>
        <f t="shared" si="2"/>
        <v>0</v>
      </c>
      <c r="AF38" s="5"/>
      <c r="AG38" s="5"/>
    </row>
    <row r="39" spans="2:33"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2:33" ht="12" thickBot="1">
      <c r="F40" s="8">
        <f>SUM(F6:F39)</f>
        <v>0</v>
      </c>
      <c r="G40" s="8">
        <f>SUM(G6:G39)</f>
        <v>0</v>
      </c>
      <c r="H40" s="8">
        <f>SUM(H6:H39)</f>
        <v>0</v>
      </c>
      <c r="K40" s="8">
        <f>SUM(K6:K39)</f>
        <v>0</v>
      </c>
      <c r="N40" s="8">
        <f>SUM(N6:N39)</f>
        <v>0</v>
      </c>
      <c r="O40" s="8">
        <f t="shared" ref="O40:AG40" si="4">SUM(O6:O39)</f>
        <v>0</v>
      </c>
      <c r="P40" s="8">
        <f t="shared" si="4"/>
        <v>0</v>
      </c>
      <c r="Q40" s="8">
        <f t="shared" si="4"/>
        <v>0</v>
      </c>
      <c r="R40" s="8">
        <f t="shared" si="4"/>
        <v>0</v>
      </c>
      <c r="S40" s="8">
        <f t="shared" si="4"/>
        <v>0</v>
      </c>
      <c r="T40" s="8">
        <f t="shared" si="4"/>
        <v>0</v>
      </c>
      <c r="U40" s="8">
        <f t="shared" si="4"/>
        <v>0</v>
      </c>
      <c r="V40" s="8">
        <f t="shared" si="4"/>
        <v>0</v>
      </c>
      <c r="W40" s="8">
        <f t="shared" si="4"/>
        <v>0</v>
      </c>
      <c r="X40" s="8">
        <f t="shared" si="4"/>
        <v>0</v>
      </c>
      <c r="Y40" s="8">
        <f t="shared" si="4"/>
        <v>0</v>
      </c>
      <c r="Z40" s="8">
        <f t="shared" si="4"/>
        <v>0</v>
      </c>
      <c r="AA40" s="8">
        <f t="shared" si="4"/>
        <v>0</v>
      </c>
      <c r="AB40" s="8">
        <f t="shared" si="4"/>
        <v>0</v>
      </c>
      <c r="AC40" s="8">
        <f t="shared" si="4"/>
        <v>0</v>
      </c>
      <c r="AD40" s="8">
        <f t="shared" si="4"/>
        <v>0</v>
      </c>
      <c r="AE40" s="8">
        <f t="shared" si="4"/>
        <v>0</v>
      </c>
      <c r="AF40" s="8">
        <f t="shared" si="4"/>
        <v>0</v>
      </c>
      <c r="AG40" s="8">
        <f t="shared" si="4"/>
        <v>0</v>
      </c>
    </row>
    <row r="41" spans="2:33" ht="12" thickTop="1"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</sheetData>
  <mergeCells count="1">
    <mergeCell ref="N3:AE3"/>
  </mergeCells>
  <pageMargins left="0.7" right="0.7" top="0.75" bottom="0.75" header="0.3" footer="0.3"/>
  <pageSetup scale="17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9FFB-0985-4DDB-A46A-01C38C256EBD}">
  <dimension ref="B2:AC65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6" style="1" bestFit="1" customWidth="1"/>
    <col min="25" max="25" width="15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661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17"/>
      <c r="C8" s="14"/>
      <c r="D8" s="23"/>
      <c r="E8" s="18"/>
      <c r="F8" s="18">
        <f t="shared" ref="F8:F43" si="0">E8*15/115</f>
        <v>0</v>
      </c>
      <c r="G8" s="18">
        <f t="shared" ref="G8:G47" si="1">E8-F8</f>
        <v>0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f t="shared" ref="AA8:AA43" si="2">SUM(I8:Z8)</f>
        <v>0</v>
      </c>
      <c r="AC8" s="7">
        <f t="shared" ref="AC8:AC48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/>
      <c r="G28" s="18">
        <f t="shared" si="1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/>
      <c r="G32" s="18">
        <f t="shared" si="1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f t="shared" si="0"/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f t="shared" si="0"/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f t="shared" si="0"/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>
        <f t="shared" si="0"/>
        <v>0</v>
      </c>
      <c r="G36" s="18">
        <f t="shared" si="1"/>
        <v>0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f t="shared" si="0"/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f t="shared" si="0"/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f t="shared" si="0"/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>
        <f t="shared" si="2"/>
        <v>0</v>
      </c>
      <c r="AC39" s="7">
        <f t="shared" si="3"/>
        <v>0</v>
      </c>
    </row>
    <row r="40" spans="2:29">
      <c r="B40" s="17"/>
      <c r="C40" s="14"/>
      <c r="D40" s="23"/>
      <c r="E40" s="18"/>
      <c r="F40" s="18">
        <f t="shared" si="0"/>
        <v>0</v>
      </c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2"/>
        <v>0</v>
      </c>
      <c r="AC40" s="7">
        <f t="shared" si="3"/>
        <v>0</v>
      </c>
    </row>
    <row r="41" spans="2:29">
      <c r="B41" s="17"/>
      <c r="C41" s="14"/>
      <c r="D41" s="23"/>
      <c r="E41" s="18"/>
      <c r="F41" s="18">
        <f t="shared" si="0"/>
        <v>0</v>
      </c>
      <c r="G41" s="18">
        <f t="shared" si="1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2"/>
        <v>0</v>
      </c>
      <c r="AC41" s="7">
        <f t="shared" si="3"/>
        <v>0</v>
      </c>
    </row>
    <row r="42" spans="2:29">
      <c r="B42" s="17"/>
      <c r="C42" s="14"/>
      <c r="D42" s="23"/>
      <c r="E42" s="18"/>
      <c r="F42" s="18">
        <f t="shared" si="0"/>
        <v>0</v>
      </c>
      <c r="G42" s="18">
        <f t="shared" si="1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2"/>
        <v>0</v>
      </c>
      <c r="AC42" s="7">
        <f t="shared" si="3"/>
        <v>0</v>
      </c>
    </row>
    <row r="43" spans="2:29">
      <c r="B43" s="17"/>
      <c r="C43" s="14"/>
      <c r="D43" s="23"/>
      <c r="E43" s="18"/>
      <c r="F43" s="18">
        <f t="shared" si="0"/>
        <v>0</v>
      </c>
      <c r="G43" s="18">
        <f t="shared" si="1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2"/>
        <v>0</v>
      </c>
      <c r="AC43" s="7">
        <f t="shared" si="3"/>
        <v>0</v>
      </c>
    </row>
    <row r="44" spans="2:29">
      <c r="B44" s="17"/>
      <c r="C44" s="14"/>
      <c r="D44" s="23"/>
      <c r="E44" s="18"/>
      <c r="F44" s="18">
        <v>0</v>
      </c>
      <c r="G44" s="18">
        <f t="shared" si="1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C44" s="7">
        <f t="shared" si="3"/>
        <v>0</v>
      </c>
    </row>
    <row r="45" spans="2:29">
      <c r="B45" s="17"/>
      <c r="C45" s="14"/>
      <c r="D45" s="23"/>
      <c r="E45" s="26"/>
      <c r="F45" s="18"/>
      <c r="G45" s="18">
        <f t="shared" si="1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>SUM(I45:Z45)</f>
        <v>0</v>
      </c>
      <c r="AC45" s="7">
        <f t="shared" si="3"/>
        <v>0</v>
      </c>
    </row>
    <row r="46" spans="2:29">
      <c r="B46" s="17"/>
      <c r="C46" s="14"/>
      <c r="D46" s="23"/>
      <c r="E46" s="26"/>
      <c r="F46" s="18"/>
      <c r="G46" s="18">
        <f t="shared" si="1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>SUM(I46:Z46)</f>
        <v>0</v>
      </c>
      <c r="AC46" s="7">
        <f t="shared" si="3"/>
        <v>0</v>
      </c>
    </row>
    <row r="47" spans="2:29">
      <c r="B47" s="17"/>
      <c r="C47" s="14"/>
      <c r="D47" s="23"/>
      <c r="E47" s="26"/>
      <c r="F47" s="18"/>
      <c r="G47" s="18">
        <f t="shared" si="1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>SUM(I47:Z47)</f>
        <v>0</v>
      </c>
      <c r="AC47" s="7">
        <f t="shared" si="3"/>
        <v>0</v>
      </c>
    </row>
    <row r="48" spans="2:29">
      <c r="B48" s="17"/>
      <c r="C48" s="14"/>
      <c r="D48" s="23"/>
      <c r="E48" s="26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>SUM(I48:Z48)</f>
        <v>0</v>
      </c>
      <c r="AC48" s="7">
        <f t="shared" si="3"/>
        <v>0</v>
      </c>
    </row>
    <row r="49" spans="2:29">
      <c r="B49" s="17"/>
      <c r="C49" s="14"/>
      <c r="D49" s="14"/>
      <c r="E49" s="18"/>
      <c r="F49" s="18"/>
      <c r="G49" s="1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C49" s="7"/>
    </row>
    <row r="50" spans="2:29" ht="12" thickBot="1">
      <c r="E50" s="8">
        <f t="shared" ref="E50:AA50" si="4">SUM(E8:E48)</f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0</v>
      </c>
      <c r="R50" s="8">
        <f t="shared" si="4"/>
        <v>0</v>
      </c>
      <c r="S50" s="8">
        <f t="shared" si="4"/>
        <v>0</v>
      </c>
      <c r="T50" s="8">
        <f t="shared" si="4"/>
        <v>0</v>
      </c>
      <c r="U50" s="8">
        <f t="shared" si="4"/>
        <v>0</v>
      </c>
      <c r="V50" s="8">
        <f t="shared" si="4"/>
        <v>0</v>
      </c>
      <c r="W50" s="8">
        <f t="shared" si="4"/>
        <v>0</v>
      </c>
      <c r="X50" s="8">
        <f t="shared" si="4"/>
        <v>0</v>
      </c>
      <c r="Y50" s="8">
        <f t="shared" si="4"/>
        <v>0</v>
      </c>
      <c r="Z50" s="8">
        <f t="shared" si="4"/>
        <v>0</v>
      </c>
      <c r="AA50" s="8">
        <f t="shared" si="4"/>
        <v>0</v>
      </c>
      <c r="AC50" s="8">
        <f>SUM(AC8:AC48)</f>
        <v>0</v>
      </c>
    </row>
    <row r="51" spans="2:29" ht="12" thickTop="1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2:29" ht="12.75" thickBot="1">
      <c r="G52" s="1" t="s">
        <v>63</v>
      </c>
      <c r="H52" s="8">
        <f>(I50/2)-H50</f>
        <v>0</v>
      </c>
      <c r="I52" s="5">
        <f>I50/2</f>
        <v>0</v>
      </c>
      <c r="J52" s="5"/>
      <c r="K52" s="71" t="s">
        <v>170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>
      <c r="G54" s="38"/>
      <c r="I54" s="5"/>
      <c r="J54" s="5"/>
      <c r="K54" s="5" t="s">
        <v>446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7"/>
      <c r="I55" s="5"/>
      <c r="J55" s="5"/>
      <c r="K55" s="5" t="s">
        <v>447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20"/>
      <c r="J56" s="5"/>
      <c r="K56" s="5" t="s">
        <v>170</v>
      </c>
      <c r="L56" s="5">
        <v>3470858.23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I57" s="20"/>
      <c r="J57" s="20"/>
      <c r="K57" s="5" t="s">
        <v>448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 ht="12" thickBot="1">
      <c r="I59" s="20"/>
      <c r="K59" s="5" t="s">
        <v>63</v>
      </c>
      <c r="L59" s="8">
        <f>L56-SUM(I50:X50)</f>
        <v>3470858.23</v>
      </c>
    </row>
    <row r="60" spans="2:29" ht="12" thickTop="1">
      <c r="I60" s="20"/>
    </row>
    <row r="61" spans="2:29">
      <c r="I61" s="7"/>
    </row>
    <row r="62" spans="2:29">
      <c r="I62" s="51">
        <v>1311944.5299999998</v>
      </c>
    </row>
    <row r="63" spans="2:29">
      <c r="I63" s="7"/>
    </row>
    <row r="65" spans="9:9">
      <c r="I65" s="7"/>
    </row>
  </sheetData>
  <mergeCells count="1">
    <mergeCell ref="I5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4251-1999-4508-A01B-EE528CED2280}">
  <dimension ref="B2:O34"/>
  <sheetViews>
    <sheetView topLeftCell="A4" workbookViewId="0">
      <selection activeCell="S20" sqref="S20"/>
    </sheetView>
  </sheetViews>
  <sheetFormatPr defaultColWidth="8.85546875" defaultRowHeight="11.25"/>
  <cols>
    <col min="1" max="1" width="8.85546875" style="1"/>
    <col min="2" max="2" width="32.7109375" style="1" bestFit="1" customWidth="1"/>
    <col min="3" max="3" width="12" style="1" bestFit="1" customWidth="1"/>
    <col min="4" max="14" width="11.140625" style="1" bestFit="1" customWidth="1"/>
    <col min="15" max="15" width="5.28515625" style="1" bestFit="1" customWidth="1"/>
    <col min="16" max="16384" width="8.85546875" style="1"/>
  </cols>
  <sheetData>
    <row r="2" spans="2:15" ht="18">
      <c r="B2" s="10" t="s">
        <v>47</v>
      </c>
    </row>
    <row r="4" spans="2:15">
      <c r="D4" s="67">
        <v>0.15</v>
      </c>
      <c r="E4" s="68">
        <v>7.4999999999999997E-2</v>
      </c>
      <c r="F4" s="68">
        <v>7.4999999999999997E-2</v>
      </c>
      <c r="G4" s="67">
        <v>0.09</v>
      </c>
      <c r="H4" s="67">
        <v>0.09</v>
      </c>
      <c r="I4" s="67">
        <v>0.09</v>
      </c>
      <c r="J4" s="67">
        <v>0.1</v>
      </c>
      <c r="K4" s="67">
        <v>0.12</v>
      </c>
      <c r="L4" s="67">
        <v>0.12</v>
      </c>
      <c r="M4" s="67">
        <v>0.05</v>
      </c>
      <c r="N4" s="67">
        <v>0.04</v>
      </c>
      <c r="O4" s="67">
        <v>0</v>
      </c>
    </row>
    <row r="5" spans="2:15">
      <c r="C5" s="69" t="s">
        <v>48</v>
      </c>
      <c r="D5" s="69" t="s">
        <v>2</v>
      </c>
      <c r="E5" s="69" t="s">
        <v>49</v>
      </c>
      <c r="F5" s="69" t="s">
        <v>50</v>
      </c>
      <c r="G5" s="69" t="s">
        <v>51</v>
      </c>
      <c r="H5" s="69" t="s">
        <v>52</v>
      </c>
      <c r="I5" s="69" t="s">
        <v>53</v>
      </c>
      <c r="J5" s="69" t="s">
        <v>54</v>
      </c>
      <c r="K5" s="69" t="s">
        <v>55</v>
      </c>
      <c r="L5" s="69" t="s">
        <v>56</v>
      </c>
      <c r="M5" s="69" t="s">
        <v>57</v>
      </c>
      <c r="N5" s="69" t="s">
        <v>58</v>
      </c>
      <c r="O5" s="69" t="s">
        <v>59</v>
      </c>
    </row>
    <row r="6" spans="2:15">
      <c r="C6" s="11"/>
    </row>
    <row r="7" spans="2:15">
      <c r="B7" s="1" t="s">
        <v>60</v>
      </c>
      <c r="C7" s="7">
        <f>+'Salaries &amp; Budgets'!J26</f>
        <v>29136000</v>
      </c>
      <c r="D7" s="58">
        <v>4046400</v>
      </c>
      <c r="E7" s="7">
        <f>$C$7*E$4</f>
        <v>2185200</v>
      </c>
      <c r="F7" s="7">
        <f t="shared" ref="F7:N7" si="0">$C$7*F$4</f>
        <v>2185200</v>
      </c>
      <c r="G7" s="7">
        <f t="shared" si="0"/>
        <v>2622240</v>
      </c>
      <c r="H7" s="7">
        <f t="shared" si="0"/>
        <v>2622240</v>
      </c>
      <c r="I7" s="7">
        <f t="shared" si="0"/>
        <v>2622240</v>
      </c>
      <c r="J7" s="7">
        <f t="shared" si="0"/>
        <v>2913600</v>
      </c>
      <c r="K7" s="7">
        <f t="shared" si="0"/>
        <v>3496320</v>
      </c>
      <c r="L7" s="7">
        <f t="shared" si="0"/>
        <v>3496320</v>
      </c>
      <c r="M7" s="7">
        <f t="shared" si="0"/>
        <v>1456800</v>
      </c>
      <c r="N7" s="7">
        <f t="shared" si="0"/>
        <v>1165440</v>
      </c>
      <c r="O7" s="7">
        <f t="shared" ref="O7" si="1">$C$7*O4</f>
        <v>0</v>
      </c>
    </row>
    <row r="8" spans="2:15">
      <c r="C8" s="7">
        <v>0</v>
      </c>
      <c r="D8" s="7"/>
      <c r="E8" s="7">
        <f>($C$8*E4)/85*100</f>
        <v>0</v>
      </c>
      <c r="F8" s="7">
        <f t="shared" ref="F8:O8" si="2">($C$8*F4)/85*100</f>
        <v>0</v>
      </c>
      <c r="G8" s="7">
        <f t="shared" si="2"/>
        <v>0</v>
      </c>
      <c r="H8" s="7">
        <f t="shared" si="2"/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</row>
    <row r="9" spans="2:1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ht="12" thickBot="1">
      <c r="B10" s="1" t="s">
        <v>48</v>
      </c>
      <c r="C10" s="8">
        <f>C7+C8</f>
        <v>29136000</v>
      </c>
      <c r="D10" s="8">
        <f t="shared" ref="D10:O10" si="3">D7+D8</f>
        <v>4046400</v>
      </c>
      <c r="E10" s="8">
        <f t="shared" si="3"/>
        <v>2185200</v>
      </c>
      <c r="F10" s="8">
        <f t="shared" si="3"/>
        <v>2185200</v>
      </c>
      <c r="G10" s="8">
        <f t="shared" si="3"/>
        <v>2622240</v>
      </c>
      <c r="H10" s="8">
        <f t="shared" si="3"/>
        <v>2622240</v>
      </c>
      <c r="I10" s="8">
        <f t="shared" si="3"/>
        <v>2622240</v>
      </c>
      <c r="J10" s="8">
        <f t="shared" si="3"/>
        <v>2913600</v>
      </c>
      <c r="K10" s="8">
        <f t="shared" si="3"/>
        <v>3496320</v>
      </c>
      <c r="L10" s="8">
        <f t="shared" si="3"/>
        <v>3496320</v>
      </c>
      <c r="M10" s="8">
        <f t="shared" si="3"/>
        <v>1456800</v>
      </c>
      <c r="N10" s="8">
        <f t="shared" si="3"/>
        <v>1165440</v>
      </c>
      <c r="O10" s="8">
        <f t="shared" si="3"/>
        <v>0</v>
      </c>
    </row>
    <row r="11" spans="2:15" ht="12" thickTop="1"/>
    <row r="12" spans="2:15">
      <c r="B12" s="13" t="s">
        <v>61</v>
      </c>
    </row>
    <row r="14" spans="2:15">
      <c r="B14" s="1" t="s">
        <v>31</v>
      </c>
      <c r="C14" s="5">
        <f>+'Salaries &amp; Budgets'!J13</f>
        <v>5004000</v>
      </c>
      <c r="D14" s="5">
        <f>C14*$D$4</f>
        <v>750600</v>
      </c>
      <c r="E14" s="5">
        <f>C14*$E$4</f>
        <v>375300</v>
      </c>
      <c r="F14" s="5">
        <f>C14*$F$4</f>
        <v>375300</v>
      </c>
      <c r="G14" s="5">
        <f>C14*$G$4</f>
        <v>450360</v>
      </c>
      <c r="H14" s="5">
        <f>C14*$H$4</f>
        <v>450360</v>
      </c>
      <c r="I14" s="5">
        <f>C14*$I$4</f>
        <v>450360</v>
      </c>
      <c r="J14" s="5">
        <f>C14*$J$4</f>
        <v>500400</v>
      </c>
      <c r="K14" s="5">
        <f>C14*$K$4</f>
        <v>600480</v>
      </c>
      <c r="L14" s="5">
        <f>C14*$L$4</f>
        <v>600480</v>
      </c>
      <c r="M14" s="5">
        <f>C14*$M$4</f>
        <v>250200</v>
      </c>
      <c r="N14" s="5">
        <f>C14*$N$4</f>
        <v>200160</v>
      </c>
      <c r="O14" s="5">
        <f t="shared" ref="O14" si="4">$C$14*O4</f>
        <v>0</v>
      </c>
    </row>
    <row r="15" spans="2:15">
      <c r="B15" s="1" t="s">
        <v>33</v>
      </c>
      <c r="C15" s="5">
        <f>+'Salaries &amp; Budgets'!J14</f>
        <v>2160000</v>
      </c>
      <c r="D15" s="5">
        <f t="shared" ref="D15:D23" si="5">C15*$D$4</f>
        <v>324000</v>
      </c>
      <c r="E15" s="5">
        <f t="shared" ref="E15:E24" si="6">C15*$E$4</f>
        <v>162000</v>
      </c>
      <c r="F15" s="5">
        <f t="shared" ref="F15:F24" si="7">C15*$F$4</f>
        <v>162000</v>
      </c>
      <c r="G15" s="5">
        <f t="shared" ref="G15:G25" si="8">C15*$G$4</f>
        <v>194400</v>
      </c>
      <c r="H15" s="5">
        <f t="shared" ref="H15:H24" si="9">C15*$H$4</f>
        <v>194400</v>
      </c>
      <c r="I15" s="5">
        <f t="shared" ref="I15:I24" si="10">C15*$I$4</f>
        <v>194400</v>
      </c>
      <c r="J15" s="5">
        <f t="shared" ref="J15:J24" si="11">C15*$J$4</f>
        <v>216000</v>
      </c>
      <c r="K15" s="5">
        <f t="shared" ref="K15:K24" si="12">C15*$K$4</f>
        <v>259200</v>
      </c>
      <c r="L15" s="5">
        <f t="shared" ref="L15:L24" si="13">C15*$L$4</f>
        <v>259200</v>
      </c>
      <c r="M15" s="5">
        <f t="shared" ref="M15:M24" si="14">C15*$M$4</f>
        <v>108000</v>
      </c>
      <c r="N15" s="5">
        <f t="shared" ref="N15:N24" si="15">C15*$N$4</f>
        <v>86400</v>
      </c>
      <c r="O15" s="5">
        <f t="shared" ref="O15" si="16">$C$15*O4</f>
        <v>0</v>
      </c>
    </row>
    <row r="16" spans="2:15">
      <c r="B16" s="1" t="s">
        <v>35</v>
      </c>
      <c r="C16" s="5">
        <f>+'Salaries &amp; Budgets'!J15</f>
        <v>2700000</v>
      </c>
      <c r="D16" s="5">
        <f t="shared" si="5"/>
        <v>405000</v>
      </c>
      <c r="E16" s="5">
        <f t="shared" si="6"/>
        <v>202500</v>
      </c>
      <c r="F16" s="5">
        <f t="shared" si="7"/>
        <v>202500</v>
      </c>
      <c r="G16" s="5">
        <f t="shared" si="8"/>
        <v>243000</v>
      </c>
      <c r="H16" s="5">
        <f t="shared" si="9"/>
        <v>243000</v>
      </c>
      <c r="I16" s="5">
        <f t="shared" si="10"/>
        <v>243000</v>
      </c>
      <c r="J16" s="5">
        <f t="shared" si="11"/>
        <v>270000</v>
      </c>
      <c r="K16" s="5">
        <f t="shared" si="12"/>
        <v>324000</v>
      </c>
      <c r="L16" s="5">
        <f t="shared" si="13"/>
        <v>324000</v>
      </c>
      <c r="M16" s="5">
        <f t="shared" si="14"/>
        <v>135000</v>
      </c>
      <c r="N16" s="5">
        <f t="shared" si="15"/>
        <v>108000</v>
      </c>
      <c r="O16" s="5">
        <f t="shared" ref="O16" si="17">$C$16*O4</f>
        <v>0</v>
      </c>
    </row>
    <row r="17" spans="2:15">
      <c r="B17" s="1" t="s">
        <v>37</v>
      </c>
      <c r="C17" s="5">
        <f>+'Salaries &amp; Budgets'!J16</f>
        <v>3690000</v>
      </c>
      <c r="D17" s="5">
        <f t="shared" si="5"/>
        <v>553500</v>
      </c>
      <c r="E17" s="5">
        <f t="shared" si="6"/>
        <v>276750</v>
      </c>
      <c r="F17" s="5">
        <f t="shared" si="7"/>
        <v>276750</v>
      </c>
      <c r="G17" s="5">
        <f t="shared" si="8"/>
        <v>332100</v>
      </c>
      <c r="H17" s="5">
        <f t="shared" si="9"/>
        <v>332100</v>
      </c>
      <c r="I17" s="5">
        <f t="shared" si="10"/>
        <v>332100</v>
      </c>
      <c r="J17" s="5">
        <f t="shared" si="11"/>
        <v>369000</v>
      </c>
      <c r="K17" s="5">
        <f t="shared" si="12"/>
        <v>442800</v>
      </c>
      <c r="L17" s="5">
        <f t="shared" si="13"/>
        <v>442800</v>
      </c>
      <c r="M17" s="5">
        <f t="shared" si="14"/>
        <v>184500</v>
      </c>
      <c r="N17" s="5">
        <f t="shared" si="15"/>
        <v>147600</v>
      </c>
      <c r="O17" s="5">
        <f t="shared" ref="O17" si="18">$C$17*O4</f>
        <v>0</v>
      </c>
    </row>
    <row r="18" spans="2:15">
      <c r="B18" s="1" t="s">
        <v>39</v>
      </c>
      <c r="C18" s="5">
        <f>+'Salaries &amp; Budgets'!J17</f>
        <v>1080000</v>
      </c>
      <c r="D18" s="5">
        <f t="shared" si="5"/>
        <v>162000</v>
      </c>
      <c r="E18" s="5">
        <f t="shared" si="6"/>
        <v>81000</v>
      </c>
      <c r="F18" s="5">
        <f t="shared" si="7"/>
        <v>81000</v>
      </c>
      <c r="G18" s="5">
        <f t="shared" si="8"/>
        <v>97200</v>
      </c>
      <c r="H18" s="5">
        <f t="shared" si="9"/>
        <v>97200</v>
      </c>
      <c r="I18" s="5">
        <f t="shared" si="10"/>
        <v>97200</v>
      </c>
      <c r="J18" s="5">
        <f t="shared" si="11"/>
        <v>108000</v>
      </c>
      <c r="K18" s="5">
        <f t="shared" si="12"/>
        <v>129600</v>
      </c>
      <c r="L18" s="5">
        <f t="shared" si="13"/>
        <v>129600</v>
      </c>
      <c r="M18" s="5">
        <f t="shared" si="14"/>
        <v>54000</v>
      </c>
      <c r="N18" s="5">
        <f t="shared" si="15"/>
        <v>43200</v>
      </c>
      <c r="O18" s="5"/>
    </row>
    <row r="19" spans="2:15">
      <c r="B19" s="1" t="s">
        <v>40</v>
      </c>
      <c r="C19" s="5">
        <f>+'Salaries &amp; Budgets'!J18</f>
        <v>1260000</v>
      </c>
      <c r="D19" s="5">
        <f t="shared" si="5"/>
        <v>189000</v>
      </c>
      <c r="E19" s="5">
        <f t="shared" si="6"/>
        <v>94500</v>
      </c>
      <c r="F19" s="5">
        <f t="shared" si="7"/>
        <v>94500</v>
      </c>
      <c r="G19" s="5">
        <f t="shared" si="8"/>
        <v>113400</v>
      </c>
      <c r="H19" s="5">
        <f t="shared" si="9"/>
        <v>113400</v>
      </c>
      <c r="I19" s="5">
        <f t="shared" si="10"/>
        <v>113400</v>
      </c>
      <c r="J19" s="5">
        <f t="shared" si="11"/>
        <v>126000</v>
      </c>
      <c r="K19" s="5">
        <f t="shared" si="12"/>
        <v>151200</v>
      </c>
      <c r="L19" s="5">
        <f t="shared" si="13"/>
        <v>151200</v>
      </c>
      <c r="M19" s="5">
        <f t="shared" si="14"/>
        <v>63000</v>
      </c>
      <c r="N19" s="5">
        <f t="shared" si="15"/>
        <v>50400</v>
      </c>
      <c r="O19" s="5"/>
    </row>
    <row r="20" spans="2:15">
      <c r="B20" s="1" t="s">
        <v>41</v>
      </c>
      <c r="C20" s="5">
        <f>+'Salaries &amp; Budgets'!J19</f>
        <v>792000</v>
      </c>
      <c r="D20" s="5">
        <f t="shared" si="5"/>
        <v>118800</v>
      </c>
      <c r="E20" s="5">
        <f t="shared" si="6"/>
        <v>59400</v>
      </c>
      <c r="F20" s="5">
        <f t="shared" si="7"/>
        <v>59400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</row>
    <row r="21" spans="2:15">
      <c r="B21" s="1" t="s">
        <v>42</v>
      </c>
      <c r="C21" s="5">
        <f>+'Salaries &amp; Budgets'!J20</f>
        <v>7500000</v>
      </c>
      <c r="D21" s="5">
        <f t="shared" si="5"/>
        <v>1125000</v>
      </c>
      <c r="E21" s="5">
        <f t="shared" si="6"/>
        <v>562500</v>
      </c>
      <c r="F21" s="5">
        <f t="shared" si="7"/>
        <v>562500</v>
      </c>
      <c r="G21" s="5">
        <f t="shared" si="8"/>
        <v>675000</v>
      </c>
      <c r="H21" s="5">
        <f t="shared" si="9"/>
        <v>675000</v>
      </c>
      <c r="I21" s="5">
        <f t="shared" si="10"/>
        <v>675000</v>
      </c>
      <c r="J21" s="5">
        <f t="shared" si="11"/>
        <v>750000</v>
      </c>
      <c r="K21" s="5">
        <f t="shared" si="12"/>
        <v>900000</v>
      </c>
      <c r="L21" s="5">
        <f t="shared" si="13"/>
        <v>900000</v>
      </c>
      <c r="M21" s="5">
        <f t="shared" si="14"/>
        <v>375000</v>
      </c>
      <c r="N21" s="5">
        <f t="shared" si="15"/>
        <v>300000</v>
      </c>
      <c r="O21" s="5"/>
    </row>
    <row r="22" spans="2:15">
      <c r="B22" s="1" t="s">
        <v>43</v>
      </c>
      <c r="C22" s="5">
        <f>+'Salaries &amp; Budgets'!J21</f>
        <v>2250000</v>
      </c>
      <c r="D22" s="5">
        <f t="shared" si="5"/>
        <v>337500</v>
      </c>
      <c r="E22" s="5">
        <f t="shared" si="6"/>
        <v>168750</v>
      </c>
      <c r="F22" s="5">
        <f t="shared" si="7"/>
        <v>168750</v>
      </c>
      <c r="G22" s="5">
        <f t="shared" si="8"/>
        <v>202500</v>
      </c>
      <c r="H22" s="5">
        <f t="shared" si="9"/>
        <v>202500</v>
      </c>
      <c r="I22" s="5">
        <f t="shared" si="10"/>
        <v>202500</v>
      </c>
      <c r="J22" s="5">
        <f t="shared" si="11"/>
        <v>225000</v>
      </c>
      <c r="K22" s="5">
        <f t="shared" si="12"/>
        <v>270000</v>
      </c>
      <c r="L22" s="5">
        <f t="shared" si="13"/>
        <v>270000</v>
      </c>
      <c r="M22" s="5">
        <f t="shared" si="14"/>
        <v>112500</v>
      </c>
      <c r="N22" s="5">
        <f t="shared" si="15"/>
        <v>90000</v>
      </c>
      <c r="O22" s="5"/>
    </row>
    <row r="23" spans="2:15">
      <c r="B23" s="1" t="s">
        <v>44</v>
      </c>
      <c r="C23" s="5">
        <f>+'Salaries &amp; Budgets'!J22</f>
        <v>540000</v>
      </c>
      <c r="D23" s="5">
        <f t="shared" si="5"/>
        <v>81000</v>
      </c>
      <c r="E23" s="5">
        <f t="shared" si="6"/>
        <v>40500</v>
      </c>
      <c r="F23" s="5">
        <f t="shared" si="7"/>
        <v>40500</v>
      </c>
      <c r="G23" s="5">
        <f t="shared" ref="G23" si="19">C23*$G$4</f>
        <v>48600</v>
      </c>
      <c r="H23" s="5">
        <f t="shared" ref="H23" si="20">C23*$H$4</f>
        <v>48600</v>
      </c>
      <c r="I23" s="5">
        <f t="shared" ref="I23" si="21">C23*$I$4</f>
        <v>48600</v>
      </c>
      <c r="J23" s="5">
        <f t="shared" ref="J23" si="22">C23*$J$4</f>
        <v>54000</v>
      </c>
      <c r="K23" s="5">
        <f t="shared" ref="K23" si="23">C23*$K$4</f>
        <v>64800</v>
      </c>
      <c r="L23" s="5">
        <f t="shared" ref="L23" si="24">C23*$L$4</f>
        <v>64800</v>
      </c>
      <c r="M23" s="5">
        <f t="shared" ref="M23" si="25">C23*$M$4</f>
        <v>27000</v>
      </c>
      <c r="N23" s="5">
        <f t="shared" ref="N23" si="26">C23*$N$4</f>
        <v>21600</v>
      </c>
      <c r="O23" s="5"/>
    </row>
    <row r="24" spans="2:15">
      <c r="B24" s="1" t="s">
        <v>45</v>
      </c>
      <c r="C24" s="5">
        <f>+'Salaries &amp; Budgets'!J23</f>
        <v>1243636.3636363638</v>
      </c>
      <c r="D24" s="5">
        <v>0</v>
      </c>
      <c r="E24" s="5">
        <f t="shared" si="6"/>
        <v>93272.727272727279</v>
      </c>
      <c r="F24" s="5">
        <f t="shared" si="7"/>
        <v>93272.727272727279</v>
      </c>
      <c r="G24" s="5">
        <f t="shared" si="8"/>
        <v>111927.27272727274</v>
      </c>
      <c r="H24" s="5">
        <f t="shared" si="9"/>
        <v>111927.27272727274</v>
      </c>
      <c r="I24" s="5">
        <f t="shared" si="10"/>
        <v>111927.27272727274</v>
      </c>
      <c r="J24" s="5">
        <f t="shared" si="11"/>
        <v>124363.63636363638</v>
      </c>
      <c r="K24" s="5">
        <f t="shared" si="12"/>
        <v>149236.36363636365</v>
      </c>
      <c r="L24" s="5">
        <f t="shared" si="13"/>
        <v>149236.36363636365</v>
      </c>
      <c r="M24" s="5">
        <f t="shared" si="14"/>
        <v>62181.818181818191</v>
      </c>
      <c r="N24" s="5">
        <f t="shared" si="15"/>
        <v>49745.454545454551</v>
      </c>
      <c r="O24" s="5"/>
    </row>
    <row r="25" spans="2:15">
      <c r="B25" s="1" t="s">
        <v>46</v>
      </c>
      <c r="C25" s="5">
        <f>+'Salaries &amp; Budgets'!J24</f>
        <v>916363.63636363635</v>
      </c>
      <c r="D25" s="5"/>
      <c r="E25" s="5"/>
      <c r="F25" s="5"/>
      <c r="G25" s="5">
        <f t="shared" si="8"/>
        <v>82472.727272727265</v>
      </c>
      <c r="H25" s="5">
        <f t="shared" ref="H25" si="27">C25*$H$4</f>
        <v>82472.727272727265</v>
      </c>
      <c r="I25" s="5">
        <f t="shared" ref="I25" si="28">C25*$I$4</f>
        <v>82472.727272727265</v>
      </c>
      <c r="J25" s="5">
        <f t="shared" ref="J25" si="29">C25*$J$4</f>
        <v>91636.363636363647</v>
      </c>
      <c r="K25" s="5">
        <f t="shared" ref="K25" si="30">C25*$K$4</f>
        <v>109963.63636363635</v>
      </c>
      <c r="L25" s="5">
        <f t="shared" ref="L25" si="31">C25*$L$4</f>
        <v>109963.63636363635</v>
      </c>
      <c r="M25" s="5">
        <f t="shared" ref="M25" si="32">C25*$M$4</f>
        <v>45818.181818181823</v>
      </c>
      <c r="N25" s="5">
        <f t="shared" ref="N25" si="33">C25*$N$4</f>
        <v>36654.545454545456</v>
      </c>
      <c r="O25" s="5"/>
    </row>
    <row r="26" spans="2:15">
      <c r="B26" s="1" t="s">
        <v>62</v>
      </c>
      <c r="C26" s="5">
        <f>+'Indirect Cost Budget'!C63</f>
        <v>0</v>
      </c>
      <c r="D26" s="5">
        <f>C26*0.15</f>
        <v>0</v>
      </c>
      <c r="E26" s="5">
        <f>C26*0.075</f>
        <v>0</v>
      </c>
      <c r="F26" s="5">
        <f>C26*0.075</f>
        <v>0</v>
      </c>
      <c r="G26" s="5">
        <f>C26*0.09</f>
        <v>0</v>
      </c>
      <c r="H26" s="5">
        <f>C26*0.09</f>
        <v>0</v>
      </c>
      <c r="I26" s="5">
        <f>C26*0.09</f>
        <v>0</v>
      </c>
      <c r="J26" s="5">
        <f>C26*0.1</f>
        <v>0</v>
      </c>
      <c r="K26" s="5">
        <f>C26*0.12</f>
        <v>0</v>
      </c>
      <c r="L26" s="5">
        <f>C26*0.12</f>
        <v>0</v>
      </c>
      <c r="M26" s="5">
        <f>C26*0.05</f>
        <v>0</v>
      </c>
      <c r="N26" s="5">
        <f>C26*0.04</f>
        <v>0</v>
      </c>
      <c r="O26" s="5">
        <f>C26*0</f>
        <v>0</v>
      </c>
    </row>
    <row r="28" spans="2:15" ht="12" thickBot="1">
      <c r="B28" s="1" t="s">
        <v>48</v>
      </c>
      <c r="C28" s="8">
        <f>SUM(C14:C26)+C8</f>
        <v>29136000</v>
      </c>
      <c r="D28" s="8">
        <f t="shared" ref="D28:O28" si="34">SUM(D14:D26)</f>
        <v>4046400</v>
      </c>
      <c r="E28" s="8">
        <f t="shared" si="34"/>
        <v>2116472.7272727271</v>
      </c>
      <c r="F28" s="8">
        <f t="shared" si="34"/>
        <v>2116472.7272727271</v>
      </c>
      <c r="G28" s="8">
        <f t="shared" si="34"/>
        <v>2550960</v>
      </c>
      <c r="H28" s="8">
        <f t="shared" si="34"/>
        <v>2550960</v>
      </c>
      <c r="I28" s="8">
        <f t="shared" si="34"/>
        <v>2550960</v>
      </c>
      <c r="J28" s="8">
        <f t="shared" si="34"/>
        <v>2834400</v>
      </c>
      <c r="K28" s="8">
        <f t="shared" si="34"/>
        <v>3401280</v>
      </c>
      <c r="L28" s="8">
        <f t="shared" si="34"/>
        <v>3401280</v>
      </c>
      <c r="M28" s="8">
        <f t="shared" si="34"/>
        <v>1417200</v>
      </c>
      <c r="N28" s="8">
        <f t="shared" si="34"/>
        <v>1133760</v>
      </c>
      <c r="O28" s="8">
        <f t="shared" si="34"/>
        <v>0</v>
      </c>
    </row>
    <row r="29" spans="2:15" ht="12" thickTop="1"/>
    <row r="30" spans="2:15" ht="12" thickBot="1">
      <c r="B30" s="1" t="s">
        <v>63</v>
      </c>
      <c r="C30" s="8">
        <f t="shared" ref="C30:O30" si="35">C10-C28</f>
        <v>0</v>
      </c>
      <c r="D30" s="8">
        <f t="shared" si="35"/>
        <v>0</v>
      </c>
      <c r="E30" s="8">
        <f t="shared" si="35"/>
        <v>68727.272727272939</v>
      </c>
      <c r="F30" s="8">
        <f t="shared" si="35"/>
        <v>68727.272727272939</v>
      </c>
      <c r="G30" s="8">
        <f t="shared" si="35"/>
        <v>71280</v>
      </c>
      <c r="H30" s="8">
        <f t="shared" si="35"/>
        <v>71280</v>
      </c>
      <c r="I30" s="8">
        <f t="shared" si="35"/>
        <v>71280</v>
      </c>
      <c r="J30" s="8">
        <f t="shared" si="35"/>
        <v>79200</v>
      </c>
      <c r="K30" s="8">
        <f t="shared" si="35"/>
        <v>95040</v>
      </c>
      <c r="L30" s="8">
        <f t="shared" si="35"/>
        <v>95040</v>
      </c>
      <c r="M30" s="8">
        <f t="shared" si="35"/>
        <v>39600</v>
      </c>
      <c r="N30" s="8">
        <f t="shared" si="35"/>
        <v>31680</v>
      </c>
      <c r="O30" s="8">
        <f t="shared" si="35"/>
        <v>0</v>
      </c>
    </row>
    <row r="31" spans="2:15" ht="12" thickTop="1"/>
    <row r="32" spans="2:15">
      <c r="C32" s="7"/>
    </row>
    <row r="34" spans="3:3">
      <c r="C34" s="7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190B-987E-4844-BC77-F9A452175FC0}">
  <sheetPr>
    <pageSetUpPr fitToPage="1"/>
  </sheetPr>
  <dimension ref="B2:AG43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8.28515625" style="1" bestFit="1" customWidth="1"/>
    <col min="34" max="16384" width="8.7109375" style="1"/>
  </cols>
  <sheetData>
    <row r="2" spans="2:33" ht="15.75">
      <c r="B2" s="2" t="s">
        <v>662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20" si="0">F6*15/115</f>
        <v>0</v>
      </c>
      <c r="H6" s="5">
        <f t="shared" ref="H6:H22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23" si="2">SUM(N6:AD6)</f>
        <v>0</v>
      </c>
      <c r="AF6" s="5"/>
      <c r="AG6" s="5">
        <f t="shared" ref="AG6:AG22" si="3">+AE6-H6</f>
        <v>0</v>
      </c>
    </row>
    <row r="7" spans="2:33">
      <c r="C7" s="6"/>
      <c r="F7" s="19"/>
      <c r="G7" s="5">
        <f t="shared" si="0"/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L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L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L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>F21*15/115</f>
        <v>0</v>
      </c>
      <c r="H21" s="5">
        <f t="shared" si="1"/>
        <v>0</v>
      </c>
      <c r="J21" s="6"/>
      <c r="K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/>
      <c r="G22" s="5">
        <v>0</v>
      </c>
      <c r="H22" s="5">
        <f t="shared" si="1"/>
        <v>0</v>
      </c>
      <c r="J22" s="6"/>
      <c r="K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>
        <f t="shared" si="3"/>
        <v>0</v>
      </c>
    </row>
    <row r="23" spans="3:33">
      <c r="C23" s="6"/>
      <c r="F23" s="19"/>
      <c r="G23" s="5"/>
      <c r="H23" s="5"/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2"/>
        <v>0</v>
      </c>
      <c r="AF23" s="5"/>
      <c r="AG23" s="5"/>
    </row>
    <row r="24" spans="3:33">
      <c r="C24" s="6"/>
      <c r="F24" s="19"/>
      <c r="G24" s="5"/>
      <c r="H24" s="5"/>
      <c r="J24" s="6"/>
      <c r="K24" s="5"/>
      <c r="L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3:33">
      <c r="C25" s="6"/>
      <c r="F25" s="19"/>
      <c r="G25" s="5"/>
      <c r="H25" s="5"/>
      <c r="J25" s="6"/>
      <c r="K25" s="5"/>
      <c r="L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3:33">
      <c r="C26" s="6"/>
      <c r="F26" s="19"/>
      <c r="G26" s="5"/>
      <c r="H26" s="5"/>
      <c r="J26" s="6"/>
      <c r="K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3:33">
      <c r="C27" s="6"/>
      <c r="F27" s="19"/>
      <c r="G27" s="5"/>
      <c r="H27" s="5"/>
      <c r="J27" s="6"/>
      <c r="K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3:33">
      <c r="C28" s="6"/>
      <c r="F28" s="19"/>
      <c r="G28" s="5"/>
      <c r="H28" s="5"/>
      <c r="J28" s="6"/>
      <c r="K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3:33">
      <c r="C29" s="6"/>
      <c r="F29" s="19"/>
      <c r="G29" s="5"/>
      <c r="H29" s="5"/>
      <c r="J29" s="6"/>
      <c r="K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3:33">
      <c r="C30" s="6"/>
      <c r="F30" s="19"/>
      <c r="G30" s="5"/>
      <c r="H30" s="5"/>
      <c r="J30" s="6"/>
      <c r="K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3:33">
      <c r="C31" s="6"/>
      <c r="F31" s="19"/>
      <c r="G31" s="5"/>
      <c r="H31" s="5"/>
      <c r="J31" s="6"/>
      <c r="K31" s="5"/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3:33">
      <c r="C32" s="6"/>
      <c r="F32" s="19"/>
      <c r="G32" s="5"/>
      <c r="H32" s="5"/>
      <c r="J32" s="6"/>
      <c r="K32" s="5"/>
      <c r="L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3:33">
      <c r="C33" s="6"/>
      <c r="F33" s="19"/>
      <c r="G33" s="5"/>
      <c r="H33" s="5"/>
      <c r="J33" s="6"/>
      <c r="K33" s="5"/>
      <c r="L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3:33">
      <c r="C34" s="6"/>
      <c r="F34" s="19"/>
      <c r="G34" s="5"/>
      <c r="H34" s="5"/>
      <c r="J34" s="6"/>
      <c r="K34" s="5"/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3:33">
      <c r="C35" s="6"/>
      <c r="F35" s="19"/>
      <c r="G35" s="5"/>
      <c r="H35" s="5"/>
      <c r="J35" s="6"/>
      <c r="K35" s="5"/>
      <c r="L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>
      <c r="C36" s="6"/>
      <c r="F36" s="19"/>
      <c r="G36" s="5"/>
      <c r="H36" s="5"/>
      <c r="J36" s="6"/>
      <c r="K36" s="5"/>
      <c r="L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>
      <c r="C37" s="6"/>
      <c r="F37" s="19"/>
      <c r="G37" s="5"/>
      <c r="H37" s="5"/>
      <c r="J37" s="6"/>
      <c r="K37" s="5"/>
      <c r="L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>
      <c r="C38" s="6"/>
      <c r="F38" s="19"/>
      <c r="G38" s="5"/>
      <c r="H38" s="5"/>
      <c r="J38" s="6"/>
      <c r="K38" s="5"/>
      <c r="L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>
      <c r="C39" s="6"/>
      <c r="F39" s="19"/>
      <c r="G39" s="5"/>
      <c r="H39" s="5"/>
      <c r="J39" s="6"/>
      <c r="K39" s="5"/>
      <c r="L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>
      <c r="C40" s="6"/>
      <c r="F40" s="19"/>
      <c r="G40" s="5"/>
      <c r="H40" s="5">
        <v>0</v>
      </c>
      <c r="J40" s="6"/>
      <c r="K40" s="5"/>
      <c r="L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3:33" ht="12" thickBot="1">
      <c r="F42" s="8">
        <f>SUM(F6:F41)</f>
        <v>0</v>
      </c>
      <c r="G42" s="8">
        <f>SUM(G6:G41)</f>
        <v>0</v>
      </c>
      <c r="H42" s="8">
        <f>SUM(H6:H41)</f>
        <v>0</v>
      </c>
      <c r="K42" s="8">
        <f>SUM(K6:K41)</f>
        <v>0</v>
      </c>
      <c r="N42" s="8">
        <f>SUM(N6:N41)</f>
        <v>0</v>
      </c>
      <c r="O42" s="8">
        <f t="shared" ref="O42:AG42" si="4">SUM(O6:O41)</f>
        <v>0</v>
      </c>
      <c r="P42" s="8">
        <f t="shared" si="4"/>
        <v>0</v>
      </c>
      <c r="Q42" s="8">
        <f t="shared" si="4"/>
        <v>0</v>
      </c>
      <c r="R42" s="8">
        <f t="shared" si="4"/>
        <v>0</v>
      </c>
      <c r="S42" s="8">
        <f t="shared" si="4"/>
        <v>0</v>
      </c>
      <c r="T42" s="8">
        <f t="shared" si="4"/>
        <v>0</v>
      </c>
      <c r="U42" s="8">
        <f t="shared" si="4"/>
        <v>0</v>
      </c>
      <c r="V42" s="8">
        <f t="shared" si="4"/>
        <v>0</v>
      </c>
      <c r="W42" s="8">
        <f t="shared" si="4"/>
        <v>0</v>
      </c>
      <c r="X42" s="8">
        <f t="shared" si="4"/>
        <v>0</v>
      </c>
      <c r="Y42" s="8">
        <f t="shared" si="4"/>
        <v>0</v>
      </c>
      <c r="Z42" s="8">
        <f t="shared" si="4"/>
        <v>0</v>
      </c>
      <c r="AA42" s="8">
        <f t="shared" si="4"/>
        <v>0</v>
      </c>
      <c r="AB42" s="8">
        <f t="shared" si="4"/>
        <v>0</v>
      </c>
      <c r="AC42" s="8">
        <f t="shared" si="4"/>
        <v>0</v>
      </c>
      <c r="AD42" s="8">
        <f t="shared" si="4"/>
        <v>0</v>
      </c>
      <c r="AE42" s="8">
        <f t="shared" si="4"/>
        <v>0</v>
      </c>
      <c r="AF42" s="8">
        <f t="shared" si="4"/>
        <v>0</v>
      </c>
      <c r="AG42" s="8">
        <f t="shared" si="4"/>
        <v>0</v>
      </c>
    </row>
    <row r="43" spans="3:33" ht="12" thickTop="1"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2B18-E469-4BE1-8512-ECB38775F692}">
  <dimension ref="B2:AC66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5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663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6"/>
      <c r="D8" s="16"/>
      <c r="E8" s="7"/>
      <c r="F8" s="18">
        <f t="shared" ref="F8:F44" si="0">E8*15/115</f>
        <v>0</v>
      </c>
      <c r="G8" s="18">
        <f t="shared" ref="G8:G48" si="1">E8-F8</f>
        <v>0</v>
      </c>
      <c r="Z8" s="7"/>
      <c r="AA8" s="5">
        <f t="shared" ref="AA8:AA44" si="2">SUM(I8:Z8)</f>
        <v>0</v>
      </c>
      <c r="AB8" s="7"/>
      <c r="AC8" s="7">
        <f t="shared" ref="AC8:AC49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>
        <f t="shared" si="0"/>
        <v>0</v>
      </c>
      <c r="G32" s="18">
        <f t="shared" si="1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f t="shared" si="0"/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f t="shared" si="0"/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>
        <v>0</v>
      </c>
      <c r="G36" s="18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>
        <f t="shared" si="2"/>
        <v>0</v>
      </c>
      <c r="AC39" s="7">
        <f t="shared" si="3"/>
        <v>0</v>
      </c>
    </row>
    <row r="40" spans="2:29">
      <c r="B40" s="17"/>
      <c r="C40" s="14"/>
      <c r="D40" s="23"/>
      <c r="E40" s="18"/>
      <c r="F40" s="18">
        <f t="shared" si="0"/>
        <v>0</v>
      </c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2"/>
        <v>0</v>
      </c>
      <c r="AC40" s="7">
        <f t="shared" si="3"/>
        <v>0</v>
      </c>
    </row>
    <row r="41" spans="2:29">
      <c r="B41" s="17"/>
      <c r="C41" s="14"/>
      <c r="D41" s="23"/>
      <c r="E41" s="18"/>
      <c r="F41" s="18">
        <f t="shared" si="0"/>
        <v>0</v>
      </c>
      <c r="G41" s="18">
        <f t="shared" si="1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2"/>
        <v>0</v>
      </c>
      <c r="AC41" s="7">
        <f t="shared" si="3"/>
        <v>0</v>
      </c>
    </row>
    <row r="42" spans="2:29">
      <c r="B42" s="17"/>
      <c r="C42" s="14"/>
      <c r="D42" s="23"/>
      <c r="E42" s="18"/>
      <c r="F42" s="18">
        <f t="shared" si="0"/>
        <v>0</v>
      </c>
      <c r="G42" s="18">
        <f t="shared" si="1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2"/>
        <v>0</v>
      </c>
      <c r="AC42" s="7">
        <f t="shared" si="3"/>
        <v>0</v>
      </c>
    </row>
    <row r="43" spans="2:29">
      <c r="B43" s="17"/>
      <c r="C43" s="14"/>
      <c r="D43" s="23"/>
      <c r="E43" s="18"/>
      <c r="F43" s="18">
        <f t="shared" si="0"/>
        <v>0</v>
      </c>
      <c r="G43" s="18">
        <f t="shared" si="1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2"/>
        <v>0</v>
      </c>
      <c r="AC43" s="7">
        <f t="shared" si="3"/>
        <v>0</v>
      </c>
    </row>
    <row r="44" spans="2:29">
      <c r="B44" s="17"/>
      <c r="C44" s="14"/>
      <c r="D44" s="23"/>
      <c r="E44" s="18"/>
      <c r="F44" s="18">
        <f t="shared" si="0"/>
        <v>0</v>
      </c>
      <c r="G44" s="18">
        <f t="shared" si="1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2"/>
        <v>0</v>
      </c>
      <c r="AC44" s="7">
        <f t="shared" si="3"/>
        <v>0</v>
      </c>
    </row>
    <row r="45" spans="2:29">
      <c r="B45" s="17"/>
      <c r="C45" s="14"/>
      <c r="D45" s="23"/>
      <c r="E45" s="18"/>
      <c r="F45" s="18">
        <v>0</v>
      </c>
      <c r="G45" s="18">
        <f t="shared" si="1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v>0</v>
      </c>
      <c r="AC45" s="7">
        <f t="shared" si="3"/>
        <v>0</v>
      </c>
    </row>
    <row r="46" spans="2:29">
      <c r="B46" s="17"/>
      <c r="C46" s="14"/>
      <c r="D46" s="23"/>
      <c r="E46" s="26"/>
      <c r="F46" s="18"/>
      <c r="G46" s="18">
        <f t="shared" si="1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>SUM(I46:Z46)</f>
        <v>0</v>
      </c>
      <c r="AC46" s="7">
        <f t="shared" si="3"/>
        <v>0</v>
      </c>
    </row>
    <row r="47" spans="2:29">
      <c r="B47" s="17"/>
      <c r="C47" s="14"/>
      <c r="D47" s="23"/>
      <c r="E47" s="26"/>
      <c r="F47" s="18"/>
      <c r="G47" s="18">
        <f t="shared" si="1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>SUM(I47:Z47)</f>
        <v>0</v>
      </c>
      <c r="AC47" s="7">
        <f t="shared" si="3"/>
        <v>0</v>
      </c>
    </row>
    <row r="48" spans="2:29">
      <c r="B48" s="17"/>
      <c r="C48" s="14"/>
      <c r="D48" s="23"/>
      <c r="E48" s="26"/>
      <c r="F48" s="18"/>
      <c r="G48" s="18">
        <f t="shared" si="1"/>
        <v>0</v>
      </c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>SUM(I48:Z48)</f>
        <v>0</v>
      </c>
      <c r="AC48" s="7">
        <f t="shared" si="3"/>
        <v>0</v>
      </c>
    </row>
    <row r="49" spans="2:29">
      <c r="B49" s="17"/>
      <c r="C49" s="14"/>
      <c r="D49" s="23"/>
      <c r="E49" s="26"/>
      <c r="F49" s="18"/>
      <c r="G49" s="18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>
        <f>SUM(I49:Z49)</f>
        <v>0</v>
      </c>
      <c r="AC49" s="7">
        <f t="shared" si="3"/>
        <v>0</v>
      </c>
    </row>
    <row r="50" spans="2:29">
      <c r="B50" s="17"/>
      <c r="C50" s="14"/>
      <c r="D50" s="14"/>
      <c r="E50" s="18"/>
      <c r="F50" s="18"/>
      <c r="G50" s="1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C50" s="7"/>
    </row>
    <row r="51" spans="2:29" ht="12" thickBot="1">
      <c r="E51" s="8">
        <f>SUM(E8:E49)</f>
        <v>0</v>
      </c>
      <c r="F51" s="8">
        <f t="shared" ref="F51:AC51" si="4">SUM(F8:F49)</f>
        <v>0</v>
      </c>
      <c r="G51" s="8">
        <f t="shared" si="4"/>
        <v>0</v>
      </c>
      <c r="H51" s="8">
        <f t="shared" si="4"/>
        <v>0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0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0</v>
      </c>
      <c r="R51" s="8">
        <f t="shared" si="4"/>
        <v>0</v>
      </c>
      <c r="S51" s="8">
        <f t="shared" si="4"/>
        <v>0</v>
      </c>
      <c r="T51" s="8">
        <f t="shared" si="4"/>
        <v>0</v>
      </c>
      <c r="U51" s="8">
        <f t="shared" si="4"/>
        <v>0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0</v>
      </c>
      <c r="AA51" s="8">
        <f t="shared" si="4"/>
        <v>0</v>
      </c>
      <c r="AB51" s="8">
        <f t="shared" si="4"/>
        <v>0</v>
      </c>
      <c r="AC51" s="8">
        <f t="shared" si="4"/>
        <v>0</v>
      </c>
    </row>
    <row r="52" spans="2:29" ht="12" thickTop="1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2:29" ht="12.75" thickBot="1">
      <c r="G53" s="1" t="s">
        <v>63</v>
      </c>
      <c r="H53" s="8">
        <f>(I51/2)-H51</f>
        <v>0</v>
      </c>
      <c r="I53" s="5">
        <f>I51/2</f>
        <v>0</v>
      </c>
      <c r="J53" s="5"/>
      <c r="K53" s="71" t="s">
        <v>170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 ht="12" thickTop="1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38"/>
      <c r="I55" s="5"/>
      <c r="J55" s="5"/>
      <c r="K55" s="5" t="s">
        <v>446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5"/>
      <c r="J56" s="5"/>
      <c r="K56" s="5" t="s">
        <v>447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G57" s="7"/>
      <c r="I57" s="20"/>
      <c r="J57" s="5"/>
      <c r="K57" s="5" t="s">
        <v>170</v>
      </c>
      <c r="L57" s="5">
        <v>3470858.23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20"/>
      <c r="K58" s="5" t="s">
        <v>448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>
      <c r="I59" s="2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9" ht="12" thickBot="1">
      <c r="I60" s="20"/>
      <c r="K60" s="5" t="s">
        <v>63</v>
      </c>
      <c r="L60" s="8">
        <f>L57-SUM(I51:X51)</f>
        <v>3470858.23</v>
      </c>
    </row>
    <row r="61" spans="2:29" ht="12" thickTop="1">
      <c r="I61" s="20"/>
    </row>
    <row r="62" spans="2:29">
      <c r="I62" s="7"/>
    </row>
    <row r="63" spans="2:29">
      <c r="I63" s="51">
        <v>1547076.59</v>
      </c>
    </row>
    <row r="64" spans="2:29">
      <c r="I64" s="7"/>
    </row>
    <row r="66" spans="9:9">
      <c r="I66" s="7"/>
    </row>
  </sheetData>
  <mergeCells count="1">
    <mergeCell ref="I5:AA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9636-C3D6-4B37-8851-0A626FC9CAC0}">
  <sheetPr>
    <pageSetUpPr fitToPage="1"/>
  </sheetPr>
  <dimension ref="B2:AG41"/>
  <sheetViews>
    <sheetView zoomScale="80" zoomScaleNormal="80" workbookViewId="0">
      <pane xSplit="11" ySplit="4" topLeftCell="AD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0.140625" style="1" bestFit="1" customWidth="1"/>
    <col min="34" max="16384" width="8.7109375" style="1"/>
  </cols>
  <sheetData>
    <row r="2" spans="2:33" ht="15.75">
      <c r="B2" s="2" t="s">
        <v>664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v>0</v>
      </c>
      <c r="H6" s="5">
        <f t="shared" ref="H6:H34" si="0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34" si="1">SUM(N6:AD6)</f>
        <v>0</v>
      </c>
      <c r="AF6" s="5"/>
      <c r="AG6" s="5">
        <f t="shared" ref="AG6:AG31" si="2">+AE6-H6</f>
        <v>0</v>
      </c>
    </row>
    <row r="7" spans="2:33">
      <c r="C7" s="6"/>
      <c r="F7" s="19"/>
      <c r="G7" s="5">
        <f t="shared" ref="G7:G18" si="3">F7*15/115</f>
        <v>0</v>
      </c>
      <c r="H7" s="5">
        <f t="shared" si="0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1"/>
        <v>0</v>
      </c>
      <c r="AF7" s="5"/>
      <c r="AG7" s="5">
        <f t="shared" si="2"/>
        <v>0</v>
      </c>
    </row>
    <row r="8" spans="2:33">
      <c r="C8" s="6"/>
      <c r="F8" s="19"/>
      <c r="G8" s="5">
        <f t="shared" si="3"/>
        <v>0</v>
      </c>
      <c r="H8" s="5">
        <f t="shared" si="0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1"/>
        <v>0</v>
      </c>
      <c r="AF8" s="5"/>
      <c r="AG8" s="5">
        <f t="shared" si="2"/>
        <v>0</v>
      </c>
    </row>
    <row r="9" spans="2:33">
      <c r="C9" s="6"/>
      <c r="F9" s="19"/>
      <c r="G9" s="5">
        <f t="shared" si="3"/>
        <v>0</v>
      </c>
      <c r="H9" s="5">
        <f t="shared" si="0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1"/>
        <v>0</v>
      </c>
      <c r="AF9" s="5"/>
      <c r="AG9" s="5">
        <f t="shared" si="2"/>
        <v>0</v>
      </c>
    </row>
    <row r="10" spans="2:33">
      <c r="C10" s="6"/>
      <c r="F10" s="19"/>
      <c r="G10" s="5">
        <f t="shared" si="3"/>
        <v>0</v>
      </c>
      <c r="H10" s="5">
        <f t="shared" si="0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1"/>
        <v>0</v>
      </c>
      <c r="AF10" s="5"/>
      <c r="AG10" s="5">
        <f t="shared" si="2"/>
        <v>0</v>
      </c>
    </row>
    <row r="11" spans="2:33">
      <c r="C11" s="6"/>
      <c r="F11" s="19"/>
      <c r="G11" s="5">
        <f t="shared" si="3"/>
        <v>0</v>
      </c>
      <c r="H11" s="5">
        <f t="shared" si="0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1"/>
        <v>0</v>
      </c>
      <c r="AF11" s="5"/>
      <c r="AG11" s="5">
        <f t="shared" si="2"/>
        <v>0</v>
      </c>
    </row>
    <row r="12" spans="2:33">
      <c r="C12" s="6"/>
      <c r="F12" s="19"/>
      <c r="G12" s="5">
        <f t="shared" si="3"/>
        <v>0</v>
      </c>
      <c r="H12" s="5">
        <f t="shared" si="0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1"/>
        <v>0</v>
      </c>
      <c r="AF12" s="5"/>
      <c r="AG12" s="5">
        <f t="shared" si="2"/>
        <v>0</v>
      </c>
    </row>
    <row r="13" spans="2:33">
      <c r="C13" s="6"/>
      <c r="F13" s="19"/>
      <c r="G13" s="5">
        <f t="shared" si="3"/>
        <v>0</v>
      </c>
      <c r="H13" s="5">
        <f t="shared" si="0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1"/>
        <v>0</v>
      </c>
      <c r="AF13" s="5"/>
      <c r="AG13" s="5">
        <f t="shared" si="2"/>
        <v>0</v>
      </c>
    </row>
    <row r="14" spans="2:33">
      <c r="C14" s="6"/>
      <c r="F14" s="19"/>
      <c r="G14" s="5">
        <f t="shared" si="3"/>
        <v>0</v>
      </c>
      <c r="H14" s="5">
        <f t="shared" si="0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1"/>
        <v>0</v>
      </c>
      <c r="AF14" s="5"/>
      <c r="AG14" s="5">
        <f t="shared" si="2"/>
        <v>0</v>
      </c>
    </row>
    <row r="15" spans="2:33">
      <c r="C15" s="6"/>
      <c r="F15" s="19"/>
      <c r="G15" s="5">
        <f t="shared" si="3"/>
        <v>0</v>
      </c>
      <c r="H15" s="5">
        <f t="shared" si="0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1"/>
        <v>0</v>
      </c>
      <c r="AF15" s="5"/>
      <c r="AG15" s="5">
        <f t="shared" si="2"/>
        <v>0</v>
      </c>
    </row>
    <row r="16" spans="2:33">
      <c r="C16" s="6"/>
      <c r="F16" s="19"/>
      <c r="G16" s="5">
        <f t="shared" si="3"/>
        <v>0</v>
      </c>
      <c r="H16" s="5">
        <f t="shared" si="0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1"/>
        <v>0</v>
      </c>
      <c r="AF16" s="5"/>
      <c r="AG16" s="5">
        <f t="shared" si="2"/>
        <v>0</v>
      </c>
    </row>
    <row r="17" spans="3:33">
      <c r="C17" s="6"/>
      <c r="F17" s="19"/>
      <c r="G17" s="5">
        <f t="shared" si="3"/>
        <v>0</v>
      </c>
      <c r="H17" s="5">
        <f t="shared" si="0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1"/>
        <v>0</v>
      </c>
      <c r="AF17" s="5"/>
      <c r="AG17" s="5">
        <f t="shared" si="2"/>
        <v>0</v>
      </c>
    </row>
    <row r="18" spans="3:33">
      <c r="C18" s="6"/>
      <c r="F18" s="19"/>
      <c r="G18" s="5">
        <f t="shared" si="3"/>
        <v>0</v>
      </c>
      <c r="H18" s="5">
        <f t="shared" si="0"/>
        <v>0</v>
      </c>
      <c r="J18" s="6"/>
      <c r="K18" s="5"/>
      <c r="L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1"/>
        <v>0</v>
      </c>
      <c r="AF18" s="5"/>
      <c r="AG18" s="5">
        <f t="shared" si="2"/>
        <v>0</v>
      </c>
    </row>
    <row r="19" spans="3:33">
      <c r="C19" s="6"/>
      <c r="F19" s="19"/>
      <c r="G19" s="5">
        <f t="shared" ref="G19:G31" si="4">F19*15/115</f>
        <v>0</v>
      </c>
      <c r="H19" s="5">
        <f t="shared" si="0"/>
        <v>0</v>
      </c>
      <c r="J19" s="6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1"/>
        <v>0</v>
      </c>
      <c r="AF19" s="5"/>
      <c r="AG19" s="5">
        <f t="shared" si="2"/>
        <v>0</v>
      </c>
    </row>
    <row r="20" spans="3:33">
      <c r="C20" s="6"/>
      <c r="F20" s="19"/>
      <c r="G20" s="5">
        <f t="shared" si="4"/>
        <v>0</v>
      </c>
      <c r="H20" s="5">
        <f t="shared" si="0"/>
        <v>0</v>
      </c>
      <c r="J20" s="6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1"/>
        <v>0</v>
      </c>
      <c r="AF20" s="5"/>
      <c r="AG20" s="5">
        <f t="shared" si="2"/>
        <v>0</v>
      </c>
    </row>
    <row r="21" spans="3:33">
      <c r="C21" s="6"/>
      <c r="F21" s="19"/>
      <c r="G21" s="5">
        <f t="shared" si="4"/>
        <v>0</v>
      </c>
      <c r="H21" s="5">
        <f t="shared" si="0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1"/>
        <v>0</v>
      </c>
      <c r="AF21" s="5"/>
      <c r="AG21" s="5">
        <f t="shared" si="2"/>
        <v>0</v>
      </c>
    </row>
    <row r="22" spans="3:33">
      <c r="C22" s="6"/>
      <c r="F22" s="19"/>
      <c r="G22" s="5">
        <f t="shared" si="4"/>
        <v>0</v>
      </c>
      <c r="H22" s="5">
        <f t="shared" si="0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1"/>
        <v>0</v>
      </c>
      <c r="AF22" s="5"/>
      <c r="AG22" s="5">
        <f t="shared" si="2"/>
        <v>0</v>
      </c>
    </row>
    <row r="23" spans="3:33">
      <c r="C23" s="6"/>
      <c r="F23" s="19"/>
      <c r="G23" s="5">
        <f t="shared" si="4"/>
        <v>0</v>
      </c>
      <c r="H23" s="5">
        <f t="shared" si="0"/>
        <v>0</v>
      </c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1"/>
        <v>0</v>
      </c>
      <c r="AF23" s="5"/>
      <c r="AG23" s="5">
        <f t="shared" si="2"/>
        <v>0</v>
      </c>
    </row>
    <row r="24" spans="3:33">
      <c r="C24" s="6"/>
      <c r="F24" s="19"/>
      <c r="G24" s="5">
        <f t="shared" si="4"/>
        <v>0</v>
      </c>
      <c r="H24" s="5">
        <f t="shared" si="0"/>
        <v>0</v>
      </c>
      <c r="J24" s="6"/>
      <c r="K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f t="shared" si="1"/>
        <v>0</v>
      </c>
      <c r="AF24" s="5"/>
      <c r="AG24" s="5">
        <f t="shared" si="2"/>
        <v>0</v>
      </c>
    </row>
    <row r="25" spans="3:33">
      <c r="C25" s="6"/>
      <c r="F25" s="19"/>
      <c r="G25" s="5">
        <f t="shared" si="4"/>
        <v>0</v>
      </c>
      <c r="H25" s="5">
        <f t="shared" si="0"/>
        <v>0</v>
      </c>
      <c r="J25" s="6"/>
      <c r="K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f t="shared" si="1"/>
        <v>0</v>
      </c>
      <c r="AF25" s="5"/>
      <c r="AG25" s="5">
        <f t="shared" si="2"/>
        <v>0</v>
      </c>
    </row>
    <row r="26" spans="3:33">
      <c r="C26" s="6"/>
      <c r="F26" s="19"/>
      <c r="G26" s="5">
        <f t="shared" si="4"/>
        <v>0</v>
      </c>
      <c r="H26" s="5">
        <f t="shared" si="0"/>
        <v>0</v>
      </c>
      <c r="J26" s="6"/>
      <c r="K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f t="shared" si="1"/>
        <v>0</v>
      </c>
      <c r="AF26" s="5"/>
      <c r="AG26" s="5">
        <f t="shared" si="2"/>
        <v>0</v>
      </c>
    </row>
    <row r="27" spans="3:33">
      <c r="C27" s="6"/>
      <c r="F27" s="19"/>
      <c r="G27" s="5">
        <f t="shared" si="4"/>
        <v>0</v>
      </c>
      <c r="H27" s="5">
        <f t="shared" si="0"/>
        <v>0</v>
      </c>
      <c r="J27" s="6"/>
      <c r="K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f t="shared" si="1"/>
        <v>0</v>
      </c>
      <c r="AF27" s="5"/>
      <c r="AG27" s="5">
        <f t="shared" si="2"/>
        <v>0</v>
      </c>
    </row>
    <row r="28" spans="3:33">
      <c r="C28" s="6"/>
      <c r="F28" s="19"/>
      <c r="G28" s="5">
        <f t="shared" si="4"/>
        <v>0</v>
      </c>
      <c r="H28" s="5">
        <f t="shared" si="0"/>
        <v>0</v>
      </c>
      <c r="J28" s="6"/>
      <c r="K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f t="shared" si="1"/>
        <v>0</v>
      </c>
      <c r="AF28" s="5"/>
      <c r="AG28" s="5">
        <f t="shared" si="2"/>
        <v>0</v>
      </c>
    </row>
    <row r="29" spans="3:33">
      <c r="C29" s="6"/>
      <c r="F29" s="19"/>
      <c r="G29" s="5">
        <f t="shared" si="4"/>
        <v>0</v>
      </c>
      <c r="H29" s="5">
        <f t="shared" si="0"/>
        <v>0</v>
      </c>
      <c r="J29" s="6"/>
      <c r="K29" s="5"/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>
        <f t="shared" si="1"/>
        <v>0</v>
      </c>
      <c r="AF29" s="5"/>
      <c r="AG29" s="5">
        <f t="shared" si="2"/>
        <v>0</v>
      </c>
    </row>
    <row r="30" spans="3:33">
      <c r="C30" s="6"/>
      <c r="F30" s="19"/>
      <c r="G30" s="5">
        <f t="shared" si="4"/>
        <v>0</v>
      </c>
      <c r="H30" s="5">
        <f t="shared" si="0"/>
        <v>0</v>
      </c>
      <c r="J30" s="6"/>
      <c r="K30" s="5"/>
      <c r="L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f t="shared" si="1"/>
        <v>0</v>
      </c>
      <c r="AF30" s="5"/>
      <c r="AG30" s="5">
        <f t="shared" si="2"/>
        <v>0</v>
      </c>
    </row>
    <row r="31" spans="3:33">
      <c r="C31" s="6"/>
      <c r="F31" s="19"/>
      <c r="G31" s="5">
        <f t="shared" si="4"/>
        <v>0</v>
      </c>
      <c r="H31" s="5">
        <f t="shared" si="0"/>
        <v>0</v>
      </c>
      <c r="J31" s="6"/>
      <c r="K31" s="5"/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 t="shared" si="1"/>
        <v>0</v>
      </c>
      <c r="AF31" s="5"/>
      <c r="AG31" s="5">
        <f t="shared" si="2"/>
        <v>0</v>
      </c>
    </row>
    <row r="32" spans="3:33">
      <c r="C32" s="6"/>
      <c r="F32" s="19"/>
      <c r="G32" s="5">
        <v>0</v>
      </c>
      <c r="H32" s="5">
        <f t="shared" si="0"/>
        <v>0</v>
      </c>
      <c r="J32" s="6"/>
      <c r="K32" s="5"/>
      <c r="L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f t="shared" si="1"/>
        <v>0</v>
      </c>
      <c r="AF32" s="5"/>
      <c r="AG32" s="5"/>
    </row>
    <row r="33" spans="3:33">
      <c r="C33" s="6"/>
      <c r="F33" s="19"/>
      <c r="G33" s="5"/>
      <c r="H33" s="5">
        <f t="shared" si="0"/>
        <v>0</v>
      </c>
      <c r="J33" s="6"/>
      <c r="K33" s="5"/>
      <c r="L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f t="shared" si="1"/>
        <v>0</v>
      </c>
      <c r="AF33" s="5"/>
      <c r="AG33" s="5"/>
    </row>
    <row r="34" spans="3:33">
      <c r="C34" s="6"/>
      <c r="F34" s="19"/>
      <c r="G34" s="5"/>
      <c r="H34" s="5">
        <f t="shared" si="0"/>
        <v>0</v>
      </c>
      <c r="J34" s="6"/>
      <c r="K34" s="5"/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f t="shared" si="1"/>
        <v>0</v>
      </c>
      <c r="AF34" s="5"/>
      <c r="AG34" s="5">
        <f>+AE34-H34</f>
        <v>0</v>
      </c>
    </row>
    <row r="35" spans="3:33">
      <c r="C35" s="6"/>
      <c r="F35" s="19"/>
      <c r="G35" s="5"/>
      <c r="H35" s="5"/>
      <c r="J35" s="6"/>
      <c r="K35" s="5"/>
      <c r="L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>
      <c r="C36" s="6"/>
      <c r="F36" s="19"/>
      <c r="G36" s="5"/>
      <c r="H36" s="5"/>
      <c r="J36" s="6"/>
      <c r="K36" s="5"/>
      <c r="L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>
      <c r="C37" s="6"/>
      <c r="F37" s="19"/>
      <c r="G37" s="5"/>
      <c r="H37" s="5"/>
      <c r="J37" s="6"/>
      <c r="K37" s="5"/>
      <c r="L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>
      <c r="C38" s="6"/>
      <c r="F38" s="19"/>
      <c r="G38" s="5"/>
      <c r="H38" s="5">
        <v>0</v>
      </c>
      <c r="J38" s="6"/>
      <c r="K38" s="5"/>
      <c r="L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 ht="12" thickBot="1">
      <c r="F40" s="8">
        <f>SUM(F6:F39)</f>
        <v>0</v>
      </c>
      <c r="G40" s="8">
        <f>SUM(G6:G39)</f>
        <v>0</v>
      </c>
      <c r="H40" s="8">
        <f>SUM(H6:H39)</f>
        <v>0</v>
      </c>
      <c r="K40" s="8">
        <f>SUM(K6:K39)</f>
        <v>0</v>
      </c>
      <c r="N40" s="8">
        <f>SUM(N6:N39)</f>
        <v>0</v>
      </c>
      <c r="O40" s="8">
        <f t="shared" ref="O40:AG40" si="5">SUM(O6:O39)</f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V40" s="8">
        <f t="shared" si="5"/>
        <v>0</v>
      </c>
      <c r="W40" s="8">
        <f t="shared" si="5"/>
        <v>0</v>
      </c>
      <c r="X40" s="8">
        <f t="shared" si="5"/>
        <v>0</v>
      </c>
      <c r="Y40" s="8">
        <f t="shared" si="5"/>
        <v>0</v>
      </c>
      <c r="Z40" s="8">
        <f t="shared" si="5"/>
        <v>0</v>
      </c>
      <c r="AA40" s="8">
        <f t="shared" si="5"/>
        <v>0</v>
      </c>
      <c r="AB40" s="8">
        <f t="shared" si="5"/>
        <v>0</v>
      </c>
      <c r="AC40" s="8">
        <f t="shared" si="5"/>
        <v>0</v>
      </c>
      <c r="AD40" s="8">
        <f t="shared" si="5"/>
        <v>0</v>
      </c>
      <c r="AE40" s="8">
        <f t="shared" si="5"/>
        <v>0</v>
      </c>
      <c r="AF40" s="8">
        <f t="shared" si="5"/>
        <v>0</v>
      </c>
      <c r="AG40" s="8">
        <f t="shared" si="5"/>
        <v>0</v>
      </c>
    </row>
    <row r="41" spans="3:33" ht="12" thickTop="1"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AA96-FCCA-4796-9E9A-835502412FCF}">
  <sheetPr>
    <pageSetUpPr fitToPage="1"/>
  </sheetPr>
  <dimension ref="B2:AC66"/>
  <sheetViews>
    <sheetView zoomScale="80" zoomScaleNormal="80" workbookViewId="0">
      <pane xSplit="7" ySplit="7" topLeftCell="Y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2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665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6"/>
      <c r="D8" s="16"/>
      <c r="E8" s="7"/>
      <c r="F8" s="18">
        <f t="shared" ref="F8:F40" si="0">E8*15/115</f>
        <v>0</v>
      </c>
      <c r="G8" s="18">
        <f t="shared" ref="G8:G48" si="1">E8-F8</f>
        <v>0</v>
      </c>
      <c r="Z8" s="7"/>
      <c r="AA8" s="5">
        <f t="shared" ref="AA8:AA49" si="2">SUM(I8:Z8)</f>
        <v>0</v>
      </c>
      <c r="AB8" s="7"/>
      <c r="AC8" s="7">
        <f t="shared" ref="AC8:AC49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f t="shared" si="0"/>
        <v>0</v>
      </c>
      <c r="G31" s="18">
        <f t="shared" si="1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>
        <f t="shared" si="0"/>
        <v>0</v>
      </c>
      <c r="G32" s="18">
        <f t="shared" si="1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f t="shared" si="0"/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f t="shared" si="0"/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f t="shared" si="0"/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/>
      <c r="G36" s="18">
        <f t="shared" si="1"/>
        <v>0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f t="shared" si="0"/>
        <v>0</v>
      </c>
      <c r="G37" s="18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f t="shared" si="0"/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f t="shared" si="0"/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>
        <f t="shared" si="2"/>
        <v>0</v>
      </c>
      <c r="AC39" s="7">
        <f t="shared" si="3"/>
        <v>0</v>
      </c>
    </row>
    <row r="40" spans="2:29">
      <c r="B40" s="17"/>
      <c r="C40" s="14"/>
      <c r="D40" s="23"/>
      <c r="E40" s="18"/>
      <c r="F40" s="18">
        <f t="shared" si="0"/>
        <v>0</v>
      </c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si="2"/>
        <v>0</v>
      </c>
      <c r="AC40" s="7">
        <f t="shared" si="3"/>
        <v>0</v>
      </c>
    </row>
    <row r="41" spans="2:29">
      <c r="B41" s="17"/>
      <c r="C41" s="14"/>
      <c r="D41" s="23"/>
      <c r="E41" s="18"/>
      <c r="F41" s="18">
        <v>0</v>
      </c>
      <c r="G41" s="18">
        <f t="shared" si="1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2"/>
        <v>0</v>
      </c>
      <c r="AC41" s="7">
        <f t="shared" si="3"/>
        <v>0</v>
      </c>
    </row>
    <row r="42" spans="2:29">
      <c r="B42" s="17"/>
      <c r="C42" s="14"/>
      <c r="D42" s="23"/>
      <c r="E42" s="18"/>
      <c r="F42" s="18">
        <v>0</v>
      </c>
      <c r="G42" s="18">
        <f t="shared" si="1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2"/>
        <v>0</v>
      </c>
      <c r="AC42" s="7">
        <f t="shared" si="3"/>
        <v>0</v>
      </c>
    </row>
    <row r="43" spans="2:29">
      <c r="B43" s="17"/>
      <c r="C43" s="14"/>
      <c r="D43" s="23"/>
      <c r="E43" s="18"/>
      <c r="F43" s="18">
        <v>0</v>
      </c>
      <c r="G43" s="18">
        <f t="shared" si="1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2"/>
        <v>0</v>
      </c>
      <c r="AC43" s="7">
        <f t="shared" si="3"/>
        <v>0</v>
      </c>
    </row>
    <row r="44" spans="2:29">
      <c r="B44" s="17"/>
      <c r="C44" s="14"/>
      <c r="D44" s="23"/>
      <c r="E44" s="18"/>
      <c r="F44" s="18">
        <v>0</v>
      </c>
      <c r="G44" s="18">
        <f t="shared" si="1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2"/>
        <v>0</v>
      </c>
      <c r="AC44" s="7">
        <f t="shared" si="3"/>
        <v>0</v>
      </c>
    </row>
    <row r="45" spans="2:29">
      <c r="B45" s="17"/>
      <c r="C45" s="14"/>
      <c r="D45" s="23"/>
      <c r="E45" s="18"/>
      <c r="F45" s="18">
        <v>0</v>
      </c>
      <c r="G45" s="18">
        <f t="shared" si="1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2"/>
        <v>0</v>
      </c>
      <c r="AC45" s="7">
        <f t="shared" si="3"/>
        <v>0</v>
      </c>
    </row>
    <row r="46" spans="2:29">
      <c r="B46" s="17"/>
      <c r="C46" s="14"/>
      <c r="D46" s="23"/>
      <c r="E46" s="26"/>
      <c r="F46" s="18"/>
      <c r="G46" s="18">
        <f t="shared" si="1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2"/>
        <v>0</v>
      </c>
      <c r="AC46" s="7">
        <f t="shared" si="3"/>
        <v>0</v>
      </c>
    </row>
    <row r="47" spans="2:29">
      <c r="B47" s="17"/>
      <c r="C47" s="14"/>
      <c r="D47" s="23"/>
      <c r="E47" s="26"/>
      <c r="F47" s="18"/>
      <c r="G47" s="18">
        <f t="shared" si="1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2"/>
        <v>0</v>
      </c>
      <c r="AC47" s="7">
        <f t="shared" si="3"/>
        <v>0</v>
      </c>
    </row>
    <row r="48" spans="2:29">
      <c r="B48" s="17"/>
      <c r="C48" s="14"/>
      <c r="D48" s="23"/>
      <c r="E48" s="26"/>
      <c r="F48" s="18"/>
      <c r="G48" s="18">
        <f t="shared" si="1"/>
        <v>0</v>
      </c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2"/>
        <v>0</v>
      </c>
      <c r="AC48" s="7">
        <f t="shared" si="3"/>
        <v>0</v>
      </c>
    </row>
    <row r="49" spans="2:29">
      <c r="B49" s="17"/>
      <c r="C49" s="14"/>
      <c r="D49" s="23"/>
      <c r="E49" s="26"/>
      <c r="F49" s="18"/>
      <c r="G49" s="18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>
        <f t="shared" si="2"/>
        <v>0</v>
      </c>
      <c r="AC49" s="7">
        <f t="shared" si="3"/>
        <v>0</v>
      </c>
    </row>
    <row r="50" spans="2:29">
      <c r="B50" s="17"/>
      <c r="C50" s="14"/>
      <c r="D50" s="14"/>
      <c r="E50" s="18"/>
      <c r="F50" s="18"/>
      <c r="G50" s="1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C50" s="7"/>
    </row>
    <row r="51" spans="2:29" ht="12" thickBot="1">
      <c r="E51" s="8">
        <f>SUM(E8:E49)</f>
        <v>0</v>
      </c>
      <c r="F51" s="8">
        <f t="shared" ref="F51:AC51" si="4">SUM(F8:F49)</f>
        <v>0</v>
      </c>
      <c r="G51" s="8">
        <f t="shared" si="4"/>
        <v>0</v>
      </c>
      <c r="H51" s="8">
        <f t="shared" si="4"/>
        <v>0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0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0</v>
      </c>
      <c r="R51" s="8">
        <f t="shared" si="4"/>
        <v>0</v>
      </c>
      <c r="S51" s="8">
        <f t="shared" si="4"/>
        <v>0</v>
      </c>
      <c r="T51" s="8">
        <f t="shared" si="4"/>
        <v>0</v>
      </c>
      <c r="U51" s="8">
        <f t="shared" si="4"/>
        <v>0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0</v>
      </c>
      <c r="AA51" s="8">
        <f t="shared" si="4"/>
        <v>0</v>
      </c>
      <c r="AB51" s="8">
        <f t="shared" si="4"/>
        <v>0</v>
      </c>
      <c r="AC51" s="8">
        <f t="shared" si="4"/>
        <v>0</v>
      </c>
    </row>
    <row r="52" spans="2:29" ht="12" thickTop="1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2:29" ht="12.75" thickBot="1">
      <c r="G53" s="1" t="s">
        <v>63</v>
      </c>
      <c r="H53" s="8">
        <f>(I51/2)-H51</f>
        <v>0</v>
      </c>
      <c r="I53" s="5">
        <f>I51/2</f>
        <v>0</v>
      </c>
      <c r="J53" s="5"/>
      <c r="K53" s="71" t="s">
        <v>170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 ht="12" thickTop="1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38"/>
      <c r="I55" s="5"/>
      <c r="J55" s="5"/>
      <c r="K55" s="5" t="s">
        <v>446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5"/>
      <c r="J56" s="5"/>
      <c r="K56" s="5" t="s">
        <v>447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G57" s="7"/>
      <c r="I57" s="20"/>
      <c r="J57" s="5"/>
      <c r="K57" s="5" t="s">
        <v>170</v>
      </c>
      <c r="L57" s="5">
        <v>3470858.23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20"/>
      <c r="K58" s="5" t="s">
        <v>448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>
      <c r="I59" s="2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9" ht="12" thickBot="1">
      <c r="I60" s="20"/>
      <c r="K60" s="5" t="s">
        <v>63</v>
      </c>
      <c r="L60" s="8">
        <f>L57-SUM(I51:X51)</f>
        <v>3470858.23</v>
      </c>
    </row>
    <row r="61" spans="2:29" ht="12" thickTop="1">
      <c r="I61" s="20"/>
    </row>
    <row r="62" spans="2:29">
      <c r="I62" s="7"/>
    </row>
    <row r="63" spans="2:29">
      <c r="I63" s="51">
        <v>1385822.4100000001</v>
      </c>
    </row>
    <row r="64" spans="2:29">
      <c r="I64" s="7"/>
    </row>
    <row r="66" spans="9:9">
      <c r="I66" s="7"/>
    </row>
  </sheetData>
  <mergeCells count="1">
    <mergeCell ref="I5:AA5"/>
  </mergeCells>
  <pageMargins left="0.7" right="0.7" top="0.75" bottom="0.75" header="0.3" footer="0.3"/>
  <pageSetup scale="2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84B-F27B-4EB9-930A-181F35EFE62B}">
  <sheetPr>
    <pageSetUpPr fitToPage="1"/>
  </sheetPr>
  <dimension ref="B2:AG55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0.140625" style="1" bestFit="1" customWidth="1"/>
    <col min="34" max="16384" width="8.7109375" style="1"/>
  </cols>
  <sheetData>
    <row r="2" spans="2:33" ht="15.75">
      <c r="B2" s="2" t="s">
        <v>666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52" si="0">F6*15/115</f>
        <v>0</v>
      </c>
      <c r="H6" s="5">
        <f t="shared" ref="H6:H52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52" si="2">SUM(N6:AD6)</f>
        <v>0</v>
      </c>
      <c r="AF6" s="5"/>
      <c r="AG6" s="5">
        <f t="shared" ref="AG6:AG52" si="3">+AE6-H6</f>
        <v>0</v>
      </c>
    </row>
    <row r="7" spans="2:33">
      <c r="C7" s="6"/>
      <c r="F7" s="19"/>
      <c r="G7" s="5"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L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/>
      <c r="G22" s="5">
        <f t="shared" si="0"/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>
        <f t="shared" si="3"/>
        <v>0</v>
      </c>
    </row>
    <row r="23" spans="3:33">
      <c r="C23" s="6"/>
      <c r="F23" s="19"/>
      <c r="G23" s="5">
        <f t="shared" si="0"/>
        <v>0</v>
      </c>
      <c r="H23" s="5">
        <f t="shared" si="1"/>
        <v>0</v>
      </c>
      <c r="J23" s="6"/>
      <c r="K23" s="5"/>
      <c r="L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f t="shared" si="2"/>
        <v>0</v>
      </c>
      <c r="AF23" s="5"/>
      <c r="AG23" s="5">
        <f t="shared" si="3"/>
        <v>0</v>
      </c>
    </row>
    <row r="24" spans="3:33">
      <c r="C24" s="6"/>
      <c r="F24" s="19"/>
      <c r="G24" s="5">
        <f t="shared" si="0"/>
        <v>0</v>
      </c>
      <c r="H24" s="5">
        <f t="shared" si="1"/>
        <v>0</v>
      </c>
      <c r="J24" s="6"/>
      <c r="K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f t="shared" si="2"/>
        <v>0</v>
      </c>
      <c r="AF24" s="5"/>
      <c r="AG24" s="5">
        <f t="shared" si="3"/>
        <v>0</v>
      </c>
    </row>
    <row r="25" spans="3:33">
      <c r="C25" s="6"/>
      <c r="F25" s="19"/>
      <c r="G25" s="5">
        <f t="shared" si="0"/>
        <v>0</v>
      </c>
      <c r="H25" s="5">
        <f t="shared" si="1"/>
        <v>0</v>
      </c>
      <c r="J25" s="6"/>
      <c r="K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f t="shared" si="2"/>
        <v>0</v>
      </c>
      <c r="AF25" s="5"/>
      <c r="AG25" s="5">
        <f t="shared" si="3"/>
        <v>0</v>
      </c>
    </row>
    <row r="26" spans="3:33">
      <c r="C26" s="6"/>
      <c r="F26" s="19"/>
      <c r="G26" s="5">
        <f t="shared" si="0"/>
        <v>0</v>
      </c>
      <c r="H26" s="5">
        <f t="shared" si="1"/>
        <v>0</v>
      </c>
      <c r="J26" s="6"/>
      <c r="K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f t="shared" si="2"/>
        <v>0</v>
      </c>
      <c r="AF26" s="5"/>
      <c r="AG26" s="5">
        <f t="shared" si="3"/>
        <v>0</v>
      </c>
    </row>
    <row r="27" spans="3:33">
      <c r="C27" s="6"/>
      <c r="F27" s="19"/>
      <c r="G27" s="5">
        <f t="shared" si="0"/>
        <v>0</v>
      </c>
      <c r="H27" s="5">
        <f t="shared" si="1"/>
        <v>0</v>
      </c>
      <c r="J27" s="6"/>
      <c r="K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f t="shared" si="2"/>
        <v>0</v>
      </c>
      <c r="AF27" s="5"/>
      <c r="AG27" s="5">
        <f t="shared" si="3"/>
        <v>0</v>
      </c>
    </row>
    <row r="28" spans="3:33">
      <c r="C28" s="6"/>
      <c r="F28" s="19"/>
      <c r="G28" s="5">
        <f t="shared" si="0"/>
        <v>0</v>
      </c>
      <c r="H28" s="5">
        <f t="shared" si="1"/>
        <v>0</v>
      </c>
      <c r="J28" s="6"/>
      <c r="K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f t="shared" si="2"/>
        <v>0</v>
      </c>
      <c r="AF28" s="5"/>
      <c r="AG28" s="5">
        <f t="shared" si="3"/>
        <v>0</v>
      </c>
    </row>
    <row r="29" spans="3:33">
      <c r="C29" s="6"/>
      <c r="F29" s="19"/>
      <c r="G29" s="5">
        <f t="shared" si="0"/>
        <v>0</v>
      </c>
      <c r="H29" s="5">
        <f t="shared" si="1"/>
        <v>0</v>
      </c>
      <c r="J29" s="6"/>
      <c r="K29" s="5"/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>
        <f t="shared" si="2"/>
        <v>0</v>
      </c>
      <c r="AF29" s="5"/>
      <c r="AG29" s="5">
        <f t="shared" si="3"/>
        <v>0</v>
      </c>
    </row>
    <row r="30" spans="3:33">
      <c r="C30" s="6"/>
      <c r="F30" s="19"/>
      <c r="G30" s="5">
        <f t="shared" si="0"/>
        <v>0</v>
      </c>
      <c r="H30" s="5">
        <f t="shared" si="1"/>
        <v>0</v>
      </c>
      <c r="J30" s="6"/>
      <c r="K30" s="5"/>
      <c r="L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f t="shared" si="2"/>
        <v>0</v>
      </c>
      <c r="AF30" s="5"/>
      <c r="AG30" s="5">
        <f t="shared" si="3"/>
        <v>0</v>
      </c>
    </row>
    <row r="31" spans="3:33">
      <c r="C31" s="6"/>
      <c r="F31" s="19"/>
      <c r="G31" s="5">
        <f t="shared" si="0"/>
        <v>0</v>
      </c>
      <c r="H31" s="5">
        <f t="shared" si="1"/>
        <v>0</v>
      </c>
      <c r="J31" s="6"/>
      <c r="K31" s="5"/>
      <c r="L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 t="shared" si="2"/>
        <v>0</v>
      </c>
      <c r="AF31" s="5"/>
      <c r="AG31" s="5">
        <f t="shared" si="3"/>
        <v>0</v>
      </c>
    </row>
    <row r="32" spans="3:33">
      <c r="C32" s="6"/>
      <c r="F32" s="19"/>
      <c r="G32" s="5">
        <f t="shared" si="0"/>
        <v>0</v>
      </c>
      <c r="H32" s="5">
        <f t="shared" si="1"/>
        <v>0</v>
      </c>
      <c r="J32" s="6"/>
      <c r="K32" s="5"/>
      <c r="L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f t="shared" si="2"/>
        <v>0</v>
      </c>
      <c r="AF32" s="5"/>
      <c r="AG32" s="5">
        <f t="shared" si="3"/>
        <v>0</v>
      </c>
    </row>
    <row r="33" spans="2:33">
      <c r="C33" s="6"/>
      <c r="F33" s="19"/>
      <c r="G33" s="5">
        <f t="shared" si="0"/>
        <v>0</v>
      </c>
      <c r="H33" s="5">
        <f t="shared" si="1"/>
        <v>0</v>
      </c>
      <c r="J33" s="6"/>
      <c r="K33" s="5"/>
      <c r="L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f t="shared" si="2"/>
        <v>0</v>
      </c>
      <c r="AF33" s="5"/>
      <c r="AG33" s="5">
        <f t="shared" si="3"/>
        <v>0</v>
      </c>
    </row>
    <row r="34" spans="2:33">
      <c r="C34" s="6"/>
      <c r="F34" s="19"/>
      <c r="G34" s="5">
        <f t="shared" si="0"/>
        <v>0</v>
      </c>
      <c r="H34" s="5">
        <f t="shared" si="1"/>
        <v>0</v>
      </c>
      <c r="J34" s="6"/>
      <c r="K34" s="5"/>
      <c r="L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f t="shared" si="2"/>
        <v>0</v>
      </c>
      <c r="AF34" s="5"/>
      <c r="AG34" s="5">
        <f t="shared" si="3"/>
        <v>0</v>
      </c>
    </row>
    <row r="35" spans="2:33">
      <c r="C35" s="6"/>
      <c r="F35" s="19"/>
      <c r="G35" s="5">
        <f t="shared" si="0"/>
        <v>0</v>
      </c>
      <c r="H35" s="5">
        <f t="shared" si="1"/>
        <v>0</v>
      </c>
      <c r="J35" s="6"/>
      <c r="K35" s="5"/>
      <c r="L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si="2"/>
        <v>0</v>
      </c>
      <c r="AF35" s="5"/>
      <c r="AG35" s="5">
        <f t="shared" si="3"/>
        <v>0</v>
      </c>
    </row>
    <row r="36" spans="2:33">
      <c r="C36" s="6"/>
      <c r="F36" s="19"/>
      <c r="G36" s="5">
        <f t="shared" si="0"/>
        <v>0</v>
      </c>
      <c r="H36" s="5">
        <f t="shared" si="1"/>
        <v>0</v>
      </c>
      <c r="J36" s="6"/>
      <c r="K36" s="5"/>
      <c r="L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 t="shared" si="2"/>
        <v>0</v>
      </c>
      <c r="AF36" s="5"/>
      <c r="AG36" s="5">
        <f t="shared" si="3"/>
        <v>0</v>
      </c>
    </row>
    <row r="37" spans="2:33">
      <c r="C37" s="6"/>
      <c r="F37" s="19"/>
      <c r="G37" s="5">
        <f t="shared" si="0"/>
        <v>0</v>
      </c>
      <c r="H37" s="5">
        <f t="shared" si="1"/>
        <v>0</v>
      </c>
      <c r="J37" s="6"/>
      <c r="K37" s="5"/>
      <c r="L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f t="shared" si="2"/>
        <v>0</v>
      </c>
      <c r="AF37" s="5"/>
      <c r="AG37" s="5">
        <f t="shared" si="3"/>
        <v>0</v>
      </c>
    </row>
    <row r="38" spans="2:33">
      <c r="C38" s="6"/>
      <c r="F38" s="19"/>
      <c r="G38" s="5">
        <f t="shared" si="0"/>
        <v>0</v>
      </c>
      <c r="H38" s="5">
        <f t="shared" si="1"/>
        <v>0</v>
      </c>
      <c r="J38" s="6"/>
      <c r="K38" s="5"/>
      <c r="L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f t="shared" si="2"/>
        <v>0</v>
      </c>
      <c r="AF38" s="5"/>
      <c r="AG38" s="5">
        <f t="shared" si="3"/>
        <v>0</v>
      </c>
    </row>
    <row r="39" spans="2:33">
      <c r="C39" s="6"/>
      <c r="F39" s="19"/>
      <c r="G39" s="5">
        <f t="shared" si="0"/>
        <v>0</v>
      </c>
      <c r="H39" s="5">
        <f t="shared" si="1"/>
        <v>0</v>
      </c>
      <c r="J39" s="6"/>
      <c r="K39" s="5"/>
      <c r="L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f t="shared" si="2"/>
        <v>0</v>
      </c>
      <c r="AF39" s="5"/>
      <c r="AG39" s="5">
        <f t="shared" si="3"/>
        <v>0</v>
      </c>
    </row>
    <row r="40" spans="2:33">
      <c r="C40" s="6"/>
      <c r="F40" s="19"/>
      <c r="G40" s="5">
        <f t="shared" si="0"/>
        <v>0</v>
      </c>
      <c r="H40" s="5">
        <f t="shared" si="1"/>
        <v>0</v>
      </c>
      <c r="J40" s="6"/>
      <c r="K40" s="5"/>
      <c r="L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f t="shared" si="2"/>
        <v>0</v>
      </c>
      <c r="AF40" s="5"/>
      <c r="AG40" s="5">
        <f t="shared" si="3"/>
        <v>0</v>
      </c>
    </row>
    <row r="41" spans="2:33">
      <c r="C41" s="6"/>
      <c r="F41" s="19"/>
      <c r="G41" s="5">
        <f t="shared" si="0"/>
        <v>0</v>
      </c>
      <c r="H41" s="5">
        <f t="shared" si="1"/>
        <v>0</v>
      </c>
      <c r="J41" s="6"/>
      <c r="K41" s="5"/>
      <c r="L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f t="shared" si="2"/>
        <v>0</v>
      </c>
      <c r="AF41" s="5"/>
      <c r="AG41" s="5">
        <f t="shared" si="3"/>
        <v>0</v>
      </c>
    </row>
    <row r="42" spans="2:33">
      <c r="C42" s="6"/>
      <c r="F42" s="19"/>
      <c r="G42" s="5">
        <f t="shared" si="0"/>
        <v>0</v>
      </c>
      <c r="H42" s="5">
        <f t="shared" si="1"/>
        <v>0</v>
      </c>
      <c r="J42" s="6"/>
      <c r="K42" s="5"/>
      <c r="L42" s="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f t="shared" si="2"/>
        <v>0</v>
      </c>
      <c r="AF42" s="5"/>
      <c r="AG42" s="5">
        <f t="shared" si="3"/>
        <v>0</v>
      </c>
    </row>
    <row r="43" spans="2:33">
      <c r="C43" s="6"/>
      <c r="F43" s="19"/>
      <c r="G43" s="5">
        <f t="shared" si="0"/>
        <v>0</v>
      </c>
      <c r="H43" s="5">
        <f t="shared" si="1"/>
        <v>0</v>
      </c>
      <c r="J43" s="6"/>
      <c r="K43" s="5"/>
      <c r="L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f t="shared" si="2"/>
        <v>0</v>
      </c>
      <c r="AF43" s="5"/>
      <c r="AG43" s="5">
        <f t="shared" si="3"/>
        <v>0</v>
      </c>
    </row>
    <row r="44" spans="2:33">
      <c r="C44" s="6"/>
      <c r="F44" s="19"/>
      <c r="G44" s="5">
        <f t="shared" si="0"/>
        <v>0</v>
      </c>
      <c r="H44" s="5">
        <f t="shared" si="1"/>
        <v>0</v>
      </c>
      <c r="J44" s="6"/>
      <c r="K44" s="5"/>
      <c r="L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f t="shared" si="2"/>
        <v>0</v>
      </c>
      <c r="AF44" s="5"/>
      <c r="AG44" s="5">
        <f t="shared" si="3"/>
        <v>0</v>
      </c>
    </row>
    <row r="45" spans="2:33">
      <c r="B45" s="47"/>
      <c r="C45" s="46"/>
      <c r="D45" s="47"/>
      <c r="E45" s="47"/>
      <c r="F45" s="48"/>
      <c r="G45" s="49">
        <v>0</v>
      </c>
      <c r="H45" s="49">
        <f t="shared" si="1"/>
        <v>0</v>
      </c>
      <c r="I45" s="47"/>
      <c r="J45" s="46"/>
      <c r="K45" s="49"/>
      <c r="L45" s="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f t="shared" si="2"/>
        <v>0</v>
      </c>
      <c r="AF45" s="5"/>
      <c r="AG45" s="5">
        <f t="shared" si="3"/>
        <v>0</v>
      </c>
    </row>
    <row r="46" spans="2:33">
      <c r="C46" s="6"/>
      <c r="F46" s="19"/>
      <c r="G46" s="5">
        <f t="shared" si="0"/>
        <v>0</v>
      </c>
      <c r="H46" s="5">
        <f t="shared" si="1"/>
        <v>0</v>
      </c>
      <c r="J46" s="6"/>
      <c r="K46" s="5"/>
      <c r="L46" s="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>
        <f t="shared" si="2"/>
        <v>0</v>
      </c>
      <c r="AF46" s="5"/>
      <c r="AG46" s="5">
        <f t="shared" si="3"/>
        <v>0</v>
      </c>
    </row>
    <row r="47" spans="2:33">
      <c r="C47" s="6"/>
      <c r="F47" s="19"/>
      <c r="G47" s="5">
        <f t="shared" si="0"/>
        <v>0</v>
      </c>
      <c r="H47" s="5">
        <f t="shared" si="1"/>
        <v>0</v>
      </c>
      <c r="J47" s="6"/>
      <c r="K47" s="5"/>
      <c r="L47" s="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>
        <f t="shared" si="2"/>
        <v>0</v>
      </c>
      <c r="AF47" s="5"/>
      <c r="AG47" s="5">
        <f t="shared" si="3"/>
        <v>0</v>
      </c>
    </row>
    <row r="48" spans="2:33">
      <c r="C48" s="6"/>
      <c r="F48" s="19"/>
      <c r="G48" s="5">
        <f t="shared" si="0"/>
        <v>0</v>
      </c>
      <c r="H48" s="5">
        <f t="shared" si="1"/>
        <v>0</v>
      </c>
      <c r="J48" s="6"/>
      <c r="K48" s="5"/>
      <c r="L48" s="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>
        <f t="shared" si="2"/>
        <v>0</v>
      </c>
      <c r="AF48" s="5"/>
      <c r="AG48" s="5">
        <f t="shared" si="3"/>
        <v>0</v>
      </c>
    </row>
    <row r="49" spans="3:33">
      <c r="C49" s="6"/>
      <c r="F49" s="19"/>
      <c r="G49" s="5">
        <f t="shared" si="0"/>
        <v>0</v>
      </c>
      <c r="H49" s="5">
        <f t="shared" si="1"/>
        <v>0</v>
      </c>
      <c r="J49" s="6"/>
      <c r="K49" s="5"/>
      <c r="L49" s="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>
        <f t="shared" si="2"/>
        <v>0</v>
      </c>
      <c r="AF49" s="5"/>
      <c r="AG49" s="5">
        <f t="shared" si="3"/>
        <v>0</v>
      </c>
    </row>
    <row r="50" spans="3:33">
      <c r="C50" s="6"/>
      <c r="F50" s="19"/>
      <c r="G50" s="5">
        <f t="shared" si="0"/>
        <v>0</v>
      </c>
      <c r="H50" s="5">
        <f t="shared" si="1"/>
        <v>0</v>
      </c>
      <c r="J50" s="6"/>
      <c r="K50" s="5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>
        <f t="shared" si="2"/>
        <v>0</v>
      </c>
      <c r="AF50" s="5"/>
      <c r="AG50" s="5">
        <f t="shared" si="3"/>
        <v>0</v>
      </c>
    </row>
    <row r="51" spans="3:33">
      <c r="C51" s="6"/>
      <c r="F51" s="19"/>
      <c r="G51" s="5">
        <v>0</v>
      </c>
      <c r="H51" s="5">
        <f t="shared" si="1"/>
        <v>0</v>
      </c>
      <c r="J51" s="6"/>
      <c r="K51" s="5"/>
      <c r="L51" s="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>
        <f t="shared" si="2"/>
        <v>0</v>
      </c>
      <c r="AF51" s="5"/>
      <c r="AG51" s="5">
        <f t="shared" si="3"/>
        <v>0</v>
      </c>
    </row>
    <row r="52" spans="3:33">
      <c r="C52" s="6"/>
      <c r="F52" s="19"/>
      <c r="G52" s="5">
        <f t="shared" si="0"/>
        <v>0</v>
      </c>
      <c r="H52" s="5">
        <f t="shared" si="1"/>
        <v>0</v>
      </c>
      <c r="J52" s="6"/>
      <c r="K52" s="5"/>
      <c r="L52" s="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>
        <f t="shared" si="2"/>
        <v>0</v>
      </c>
      <c r="AF52" s="5"/>
      <c r="AG52" s="5">
        <f t="shared" si="3"/>
        <v>0</v>
      </c>
    </row>
    <row r="53" spans="3:33"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ht="12" thickBot="1">
      <c r="F54" s="8">
        <f>SUM(F6:F53)</f>
        <v>0</v>
      </c>
      <c r="G54" s="8">
        <f>SUM(G6:G53)</f>
        <v>0</v>
      </c>
      <c r="H54" s="8">
        <f>SUM(H6:H53)</f>
        <v>0</v>
      </c>
      <c r="K54" s="8">
        <f>SUM(K6:K53)</f>
        <v>0</v>
      </c>
      <c r="N54" s="8">
        <f>SUM(N6:N53)</f>
        <v>0</v>
      </c>
      <c r="O54" s="8">
        <f t="shared" ref="O54:AG54" si="4">SUM(O6:O53)</f>
        <v>0</v>
      </c>
      <c r="P54" s="8">
        <f t="shared" si="4"/>
        <v>0</v>
      </c>
      <c r="Q54" s="8">
        <f t="shared" si="4"/>
        <v>0</v>
      </c>
      <c r="R54" s="8">
        <f t="shared" si="4"/>
        <v>0</v>
      </c>
      <c r="S54" s="8">
        <f t="shared" si="4"/>
        <v>0</v>
      </c>
      <c r="T54" s="8">
        <f t="shared" si="4"/>
        <v>0</v>
      </c>
      <c r="U54" s="8">
        <f t="shared" si="4"/>
        <v>0</v>
      </c>
      <c r="V54" s="8">
        <f t="shared" si="4"/>
        <v>0</v>
      </c>
      <c r="W54" s="8">
        <f t="shared" si="4"/>
        <v>0</v>
      </c>
      <c r="X54" s="8">
        <f t="shared" si="4"/>
        <v>0</v>
      </c>
      <c r="Y54" s="8">
        <f t="shared" si="4"/>
        <v>0</v>
      </c>
      <c r="Z54" s="8">
        <f t="shared" si="4"/>
        <v>0</v>
      </c>
      <c r="AA54" s="8">
        <f t="shared" si="4"/>
        <v>0</v>
      </c>
      <c r="AB54" s="8">
        <f t="shared" si="4"/>
        <v>0</v>
      </c>
      <c r="AC54" s="8">
        <f t="shared" si="4"/>
        <v>0</v>
      </c>
      <c r="AD54" s="8">
        <f t="shared" si="4"/>
        <v>0</v>
      </c>
      <c r="AE54" s="8">
        <f t="shared" si="4"/>
        <v>0</v>
      </c>
      <c r="AF54" s="8">
        <f t="shared" si="4"/>
        <v>0</v>
      </c>
      <c r="AG54" s="8">
        <f t="shared" si="4"/>
        <v>0</v>
      </c>
    </row>
    <row r="55" spans="3:33" ht="12" thickTop="1"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0B86-5289-4EA1-A1D2-0A3B3F56C91A}">
  <sheetPr>
    <pageSetUpPr fitToPage="1"/>
  </sheetPr>
  <dimension ref="B2:AC65"/>
  <sheetViews>
    <sheetView zoomScale="80" zoomScaleNormal="80" workbookViewId="0">
      <pane xSplit="7" ySplit="7" topLeftCell="X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2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667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6"/>
      <c r="D8" s="16"/>
      <c r="E8" s="7"/>
      <c r="F8" s="18"/>
      <c r="G8" s="18"/>
      <c r="Z8" s="7"/>
      <c r="AA8" s="5">
        <f t="shared" ref="AA8:AA38" si="0">SUM(I8:Z8)</f>
        <v>0</v>
      </c>
      <c r="AB8" s="7"/>
      <c r="AC8" s="7">
        <f t="shared" ref="AC8:AC38" si="1">G8-AA8</f>
        <v>0</v>
      </c>
    </row>
    <row r="9" spans="2:29">
      <c r="B9" s="17"/>
      <c r="C9" s="14"/>
      <c r="D9" s="23"/>
      <c r="E9" s="18"/>
      <c r="F9" s="18">
        <f t="shared" ref="F9:F39" si="2">E9*15/115</f>
        <v>0</v>
      </c>
      <c r="G9" s="18">
        <f t="shared" ref="G9:G47" si="3">E9-F9</f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0"/>
        <v>0</v>
      </c>
      <c r="AC9" s="7">
        <f t="shared" si="1"/>
        <v>0</v>
      </c>
    </row>
    <row r="10" spans="2:29">
      <c r="B10" s="17"/>
      <c r="C10" s="14"/>
      <c r="D10" s="23"/>
      <c r="E10" s="18"/>
      <c r="F10" s="18">
        <f t="shared" si="2"/>
        <v>0</v>
      </c>
      <c r="G10" s="18">
        <f t="shared" si="3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0"/>
        <v>0</v>
      </c>
      <c r="AC10" s="7">
        <f t="shared" si="1"/>
        <v>0</v>
      </c>
    </row>
    <row r="11" spans="2:29">
      <c r="B11" s="17"/>
      <c r="C11" s="14"/>
      <c r="D11" s="23"/>
      <c r="E11" s="18"/>
      <c r="F11" s="18">
        <f t="shared" si="2"/>
        <v>0</v>
      </c>
      <c r="G11" s="18">
        <f t="shared" si="3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0"/>
        <v>0</v>
      </c>
      <c r="AC11" s="7">
        <f t="shared" si="1"/>
        <v>0</v>
      </c>
    </row>
    <row r="12" spans="2:29">
      <c r="B12" s="17"/>
      <c r="C12" s="14"/>
      <c r="D12" s="23"/>
      <c r="E12" s="18"/>
      <c r="F12" s="18">
        <f t="shared" si="2"/>
        <v>0</v>
      </c>
      <c r="G12" s="18">
        <f t="shared" si="3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0"/>
        <v>0</v>
      </c>
      <c r="AC12" s="7">
        <f t="shared" si="1"/>
        <v>0</v>
      </c>
    </row>
    <row r="13" spans="2:29">
      <c r="B13" s="17"/>
      <c r="C13" s="14"/>
      <c r="D13" s="23"/>
      <c r="E13" s="18"/>
      <c r="F13" s="18">
        <f t="shared" si="2"/>
        <v>0</v>
      </c>
      <c r="G13" s="18">
        <f t="shared" si="3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0"/>
        <v>0</v>
      </c>
      <c r="AC13" s="7">
        <f t="shared" si="1"/>
        <v>0</v>
      </c>
    </row>
    <row r="14" spans="2:29">
      <c r="B14" s="17"/>
      <c r="C14" s="14"/>
      <c r="D14" s="23"/>
      <c r="E14" s="18"/>
      <c r="F14" s="18">
        <f t="shared" si="2"/>
        <v>0</v>
      </c>
      <c r="G14" s="18">
        <f t="shared" si="3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0"/>
        <v>0</v>
      </c>
      <c r="AC14" s="7">
        <f t="shared" si="1"/>
        <v>0</v>
      </c>
    </row>
    <row r="15" spans="2:29">
      <c r="B15" s="17"/>
      <c r="C15" s="14"/>
      <c r="D15" s="23"/>
      <c r="E15" s="18"/>
      <c r="F15" s="18">
        <f t="shared" si="2"/>
        <v>0</v>
      </c>
      <c r="G15" s="18">
        <f t="shared" si="3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0"/>
        <v>0</v>
      </c>
      <c r="AC15" s="7">
        <f t="shared" si="1"/>
        <v>0</v>
      </c>
    </row>
    <row r="16" spans="2:29">
      <c r="B16" s="17"/>
      <c r="C16" s="14"/>
      <c r="D16" s="23"/>
      <c r="E16" s="18"/>
      <c r="F16" s="18">
        <f t="shared" si="2"/>
        <v>0</v>
      </c>
      <c r="G16" s="18">
        <f t="shared" si="3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0"/>
        <v>0</v>
      </c>
      <c r="AC16" s="7">
        <f t="shared" si="1"/>
        <v>0</v>
      </c>
    </row>
    <row r="17" spans="2:29">
      <c r="B17" s="17"/>
      <c r="C17" s="14"/>
      <c r="D17" s="23"/>
      <c r="E17" s="18"/>
      <c r="F17" s="18">
        <f t="shared" si="2"/>
        <v>0</v>
      </c>
      <c r="G17" s="18">
        <f t="shared" si="3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0"/>
        <v>0</v>
      </c>
      <c r="AC17" s="7">
        <f t="shared" si="1"/>
        <v>0</v>
      </c>
    </row>
    <row r="18" spans="2:29">
      <c r="B18" s="17"/>
      <c r="C18" s="14"/>
      <c r="D18" s="23"/>
      <c r="E18" s="18"/>
      <c r="F18" s="18">
        <f t="shared" si="2"/>
        <v>0</v>
      </c>
      <c r="G18" s="18">
        <f t="shared" si="3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0"/>
        <v>0</v>
      </c>
      <c r="AC18" s="7">
        <f t="shared" si="1"/>
        <v>0</v>
      </c>
    </row>
    <row r="19" spans="2:29">
      <c r="B19" s="17"/>
      <c r="C19" s="14"/>
      <c r="D19" s="23"/>
      <c r="E19" s="18"/>
      <c r="F19" s="18">
        <f t="shared" si="2"/>
        <v>0</v>
      </c>
      <c r="G19" s="18">
        <f t="shared" si="3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0"/>
        <v>0</v>
      </c>
      <c r="AC19" s="7">
        <f t="shared" si="1"/>
        <v>0</v>
      </c>
    </row>
    <row r="20" spans="2:29">
      <c r="B20" s="17"/>
      <c r="C20" s="14"/>
      <c r="D20" s="23"/>
      <c r="E20" s="18"/>
      <c r="F20" s="18">
        <f t="shared" si="2"/>
        <v>0</v>
      </c>
      <c r="G20" s="18">
        <f t="shared" si="3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0"/>
        <v>0</v>
      </c>
      <c r="AC20" s="7">
        <f t="shared" si="1"/>
        <v>0</v>
      </c>
    </row>
    <row r="21" spans="2:29">
      <c r="B21" s="17"/>
      <c r="C21" s="14"/>
      <c r="D21" s="23"/>
      <c r="E21" s="18"/>
      <c r="F21" s="18">
        <f t="shared" si="2"/>
        <v>0</v>
      </c>
      <c r="G21" s="18">
        <f t="shared" si="3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0"/>
        <v>0</v>
      </c>
      <c r="AC21" s="7">
        <f t="shared" si="1"/>
        <v>0</v>
      </c>
    </row>
    <row r="22" spans="2:29">
      <c r="B22" s="17"/>
      <c r="C22" s="14"/>
      <c r="D22" s="23"/>
      <c r="E22" s="18"/>
      <c r="F22" s="18">
        <f t="shared" si="2"/>
        <v>0</v>
      </c>
      <c r="G22" s="18">
        <f t="shared" si="3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0"/>
        <v>0</v>
      </c>
      <c r="AC22" s="7">
        <f t="shared" si="1"/>
        <v>0</v>
      </c>
    </row>
    <row r="23" spans="2:29">
      <c r="B23" s="17"/>
      <c r="C23" s="14"/>
      <c r="D23" s="23"/>
      <c r="E23" s="18"/>
      <c r="F23" s="18">
        <f t="shared" si="2"/>
        <v>0</v>
      </c>
      <c r="G23" s="18">
        <f t="shared" si="3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0"/>
        <v>0</v>
      </c>
      <c r="AC23" s="7">
        <f t="shared" si="1"/>
        <v>0</v>
      </c>
    </row>
    <row r="24" spans="2:29">
      <c r="B24" s="17"/>
      <c r="C24" s="14"/>
      <c r="D24" s="23"/>
      <c r="E24" s="18"/>
      <c r="F24" s="18">
        <f t="shared" si="2"/>
        <v>0</v>
      </c>
      <c r="G24" s="18">
        <f t="shared" si="3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0"/>
        <v>0</v>
      </c>
      <c r="AC24" s="7">
        <f t="shared" si="1"/>
        <v>0</v>
      </c>
    </row>
    <row r="25" spans="2:29">
      <c r="B25" s="17"/>
      <c r="C25" s="14"/>
      <c r="D25" s="23"/>
      <c r="E25" s="18"/>
      <c r="F25" s="18">
        <f t="shared" si="2"/>
        <v>0</v>
      </c>
      <c r="G25" s="18">
        <f t="shared" si="3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0"/>
        <v>0</v>
      </c>
      <c r="AC25" s="7">
        <f t="shared" si="1"/>
        <v>0</v>
      </c>
    </row>
    <row r="26" spans="2:29">
      <c r="B26" s="17"/>
      <c r="C26" s="14"/>
      <c r="D26" s="23"/>
      <c r="E26" s="18"/>
      <c r="F26" s="18">
        <f t="shared" si="2"/>
        <v>0</v>
      </c>
      <c r="G26" s="18">
        <f t="shared" si="3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0"/>
        <v>0</v>
      </c>
      <c r="AC26" s="7">
        <f t="shared" si="1"/>
        <v>0</v>
      </c>
    </row>
    <row r="27" spans="2:29">
      <c r="B27" s="17"/>
      <c r="C27" s="14"/>
      <c r="D27" s="23"/>
      <c r="E27" s="18"/>
      <c r="F27" s="18">
        <f t="shared" si="2"/>
        <v>0</v>
      </c>
      <c r="G27" s="18">
        <f t="shared" si="3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0"/>
        <v>0</v>
      </c>
      <c r="AC27" s="7">
        <f t="shared" si="1"/>
        <v>0</v>
      </c>
    </row>
    <row r="28" spans="2:29">
      <c r="B28" s="17"/>
      <c r="C28" s="14"/>
      <c r="D28" s="23"/>
      <c r="E28" s="18"/>
      <c r="F28" s="18">
        <f t="shared" si="2"/>
        <v>0</v>
      </c>
      <c r="G28" s="18">
        <f t="shared" si="3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0"/>
        <v>0</v>
      </c>
      <c r="AC28" s="7">
        <f t="shared" si="1"/>
        <v>0</v>
      </c>
    </row>
    <row r="29" spans="2:29">
      <c r="B29" s="17"/>
      <c r="C29" s="14"/>
      <c r="D29" s="23"/>
      <c r="E29" s="18"/>
      <c r="F29" s="18">
        <f t="shared" si="2"/>
        <v>0</v>
      </c>
      <c r="G29" s="18">
        <f t="shared" si="3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0"/>
        <v>0</v>
      </c>
      <c r="AC29" s="7">
        <f t="shared" si="1"/>
        <v>0</v>
      </c>
    </row>
    <row r="30" spans="2:29">
      <c r="B30" s="17"/>
      <c r="C30" s="14"/>
      <c r="D30" s="23"/>
      <c r="E30" s="18"/>
      <c r="F30" s="18">
        <f t="shared" si="2"/>
        <v>0</v>
      </c>
      <c r="G30" s="18">
        <f t="shared" si="3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0"/>
        <v>0</v>
      </c>
      <c r="AC30" s="7">
        <f t="shared" si="1"/>
        <v>0</v>
      </c>
    </row>
    <row r="31" spans="2:29">
      <c r="B31" s="17"/>
      <c r="C31" s="14"/>
      <c r="D31" s="23"/>
      <c r="E31" s="18"/>
      <c r="F31" s="18">
        <f t="shared" si="2"/>
        <v>0</v>
      </c>
      <c r="G31" s="18">
        <f t="shared" si="3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0"/>
        <v>0</v>
      </c>
      <c r="AC31" s="7">
        <f t="shared" si="1"/>
        <v>0</v>
      </c>
    </row>
    <row r="32" spans="2:29">
      <c r="B32" s="17"/>
      <c r="C32" s="14"/>
      <c r="D32" s="23"/>
      <c r="E32" s="18"/>
      <c r="F32" s="18">
        <f t="shared" si="2"/>
        <v>0</v>
      </c>
      <c r="G32" s="18">
        <f t="shared" si="3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0"/>
        <v>0</v>
      </c>
      <c r="AC32" s="7">
        <f t="shared" si="1"/>
        <v>0</v>
      </c>
    </row>
    <row r="33" spans="2:29">
      <c r="B33" s="17"/>
      <c r="C33" s="14"/>
      <c r="D33" s="23"/>
      <c r="E33" s="18"/>
      <c r="F33" s="18">
        <f t="shared" si="2"/>
        <v>0</v>
      </c>
      <c r="G33" s="18">
        <f t="shared" si="3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0"/>
        <v>0</v>
      </c>
      <c r="AC33" s="7">
        <f t="shared" si="1"/>
        <v>0</v>
      </c>
    </row>
    <row r="34" spans="2:29">
      <c r="B34" s="17"/>
      <c r="C34" s="14"/>
      <c r="D34" s="23"/>
      <c r="E34" s="18"/>
      <c r="F34" s="18">
        <f t="shared" si="2"/>
        <v>0</v>
      </c>
      <c r="G34" s="18">
        <f t="shared" si="3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0"/>
        <v>0</v>
      </c>
      <c r="AC34" s="7">
        <f t="shared" si="1"/>
        <v>0</v>
      </c>
    </row>
    <row r="35" spans="2:29">
      <c r="B35" s="17"/>
      <c r="C35" s="14"/>
      <c r="D35" s="23"/>
      <c r="E35" s="18"/>
      <c r="F35" s="18">
        <f t="shared" si="2"/>
        <v>0</v>
      </c>
      <c r="G35" s="18">
        <f t="shared" si="3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0"/>
        <v>0</v>
      </c>
      <c r="AC35" s="7">
        <f t="shared" si="1"/>
        <v>0</v>
      </c>
    </row>
    <row r="36" spans="2:29">
      <c r="B36" s="17"/>
      <c r="C36" s="14"/>
      <c r="D36" s="23"/>
      <c r="E36" s="18"/>
      <c r="F36" s="18">
        <f t="shared" si="2"/>
        <v>0</v>
      </c>
      <c r="G36" s="18">
        <f t="shared" si="3"/>
        <v>0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0"/>
        <v>0</v>
      </c>
      <c r="AC36" s="7">
        <f t="shared" si="1"/>
        <v>0</v>
      </c>
    </row>
    <row r="37" spans="2:29">
      <c r="B37" s="17"/>
      <c r="C37" s="14"/>
      <c r="D37" s="23"/>
      <c r="E37" s="18"/>
      <c r="F37" s="18">
        <f t="shared" si="2"/>
        <v>0</v>
      </c>
      <c r="G37" s="18">
        <f t="shared" si="3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0"/>
        <v>0</v>
      </c>
      <c r="AC37" s="7">
        <f t="shared" si="1"/>
        <v>0</v>
      </c>
    </row>
    <row r="38" spans="2:29">
      <c r="B38" s="17"/>
      <c r="C38" s="14"/>
      <c r="D38" s="23"/>
      <c r="E38" s="18"/>
      <c r="F38" s="18">
        <f t="shared" si="2"/>
        <v>0</v>
      </c>
      <c r="G38" s="18">
        <f t="shared" si="3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0"/>
        <v>0</v>
      </c>
      <c r="AC38" s="7">
        <f t="shared" si="1"/>
        <v>0</v>
      </c>
    </row>
    <row r="39" spans="2:29">
      <c r="B39" s="17"/>
      <c r="C39" s="14"/>
      <c r="D39" s="23"/>
      <c r="E39" s="18"/>
      <c r="F39" s="18">
        <f t="shared" si="2"/>
        <v>0</v>
      </c>
      <c r="G39" s="18">
        <f t="shared" si="3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C39" s="7"/>
    </row>
    <row r="40" spans="2:29">
      <c r="B40" s="17"/>
      <c r="C40" s="14"/>
      <c r="D40" s="23"/>
      <c r="E40" s="18"/>
      <c r="F40" s="18">
        <v>0</v>
      </c>
      <c r="G40" s="18">
        <f t="shared" si="3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ref="AA40:AA48" si="4">SUM(I40:Z40)</f>
        <v>0</v>
      </c>
      <c r="AC40" s="7">
        <f t="shared" ref="AC40:AC48" si="5">G40-AA40</f>
        <v>0</v>
      </c>
    </row>
    <row r="41" spans="2:29">
      <c r="B41" s="17"/>
      <c r="C41" s="14"/>
      <c r="D41" s="23"/>
      <c r="E41" s="18"/>
      <c r="F41" s="18">
        <v>0</v>
      </c>
      <c r="G41" s="18">
        <f t="shared" si="3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4"/>
        <v>0</v>
      </c>
      <c r="AC41" s="7">
        <f t="shared" si="5"/>
        <v>0</v>
      </c>
    </row>
    <row r="42" spans="2:29">
      <c r="B42" s="17"/>
      <c r="C42" s="14"/>
      <c r="D42" s="23"/>
      <c r="E42" s="18"/>
      <c r="F42" s="18">
        <v>0</v>
      </c>
      <c r="G42" s="18">
        <f t="shared" si="3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4"/>
        <v>0</v>
      </c>
      <c r="AC42" s="7">
        <f t="shared" si="5"/>
        <v>0</v>
      </c>
    </row>
    <row r="43" spans="2:29">
      <c r="B43" s="17"/>
      <c r="C43" s="14"/>
      <c r="D43" s="23"/>
      <c r="E43" s="18"/>
      <c r="F43" s="18">
        <v>0</v>
      </c>
      <c r="G43" s="18">
        <f t="shared" si="3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4"/>
        <v>0</v>
      </c>
      <c r="AC43" s="7">
        <f t="shared" si="5"/>
        <v>0</v>
      </c>
    </row>
    <row r="44" spans="2:29">
      <c r="B44" s="17"/>
      <c r="C44" s="14"/>
      <c r="D44" s="23"/>
      <c r="E44" s="18"/>
      <c r="F44" s="18">
        <v>0</v>
      </c>
      <c r="G44" s="18">
        <f t="shared" si="3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4"/>
        <v>0</v>
      </c>
      <c r="AC44" s="7">
        <f t="shared" si="5"/>
        <v>0</v>
      </c>
    </row>
    <row r="45" spans="2:29">
      <c r="B45" s="17"/>
      <c r="C45" s="14"/>
      <c r="D45" s="23"/>
      <c r="E45" s="26"/>
      <c r="F45" s="18"/>
      <c r="G45" s="18">
        <f t="shared" si="3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4"/>
        <v>0</v>
      </c>
      <c r="AC45" s="7">
        <f t="shared" si="5"/>
        <v>0</v>
      </c>
    </row>
    <row r="46" spans="2:29">
      <c r="B46" s="17"/>
      <c r="C46" s="14"/>
      <c r="D46" s="23"/>
      <c r="E46" s="26"/>
      <c r="F46" s="18"/>
      <c r="G46" s="18">
        <f t="shared" si="3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4"/>
        <v>0</v>
      </c>
      <c r="AC46" s="7">
        <f t="shared" si="5"/>
        <v>0</v>
      </c>
    </row>
    <row r="47" spans="2:29">
      <c r="B47" s="17"/>
      <c r="C47" s="14"/>
      <c r="D47" s="23"/>
      <c r="E47" s="26"/>
      <c r="F47" s="18"/>
      <c r="G47" s="18">
        <f t="shared" si="3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4"/>
        <v>0</v>
      </c>
      <c r="AC47" s="7">
        <f t="shared" si="5"/>
        <v>0</v>
      </c>
    </row>
    <row r="48" spans="2:29">
      <c r="B48" s="17"/>
      <c r="C48" s="14"/>
      <c r="D48" s="23"/>
      <c r="E48" s="26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4"/>
        <v>0</v>
      </c>
      <c r="AC48" s="7">
        <f t="shared" si="5"/>
        <v>0</v>
      </c>
    </row>
    <row r="49" spans="2:29">
      <c r="B49" s="17"/>
      <c r="C49" s="14"/>
      <c r="D49" s="14"/>
      <c r="E49" s="18"/>
      <c r="F49" s="18"/>
      <c r="G49" s="1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C49" s="7"/>
    </row>
    <row r="50" spans="2:29" ht="12" thickBot="1">
      <c r="E50" s="8">
        <f>SUM(E8:E48)</f>
        <v>0</v>
      </c>
      <c r="F50" s="8">
        <f t="shared" ref="F50:AC50" si="6">SUM(F8:F48)</f>
        <v>0</v>
      </c>
      <c r="G50" s="8">
        <f t="shared" si="6"/>
        <v>0</v>
      </c>
      <c r="H50" s="8">
        <f t="shared" si="6"/>
        <v>0</v>
      </c>
      <c r="I50" s="8">
        <f t="shared" si="6"/>
        <v>0</v>
      </c>
      <c r="J50" s="8">
        <f t="shared" si="6"/>
        <v>0</v>
      </c>
      <c r="K50" s="8">
        <f t="shared" si="6"/>
        <v>0</v>
      </c>
      <c r="L50" s="8">
        <f t="shared" si="6"/>
        <v>0</v>
      </c>
      <c r="M50" s="8">
        <f t="shared" si="6"/>
        <v>0</v>
      </c>
      <c r="N50" s="8">
        <f t="shared" si="6"/>
        <v>0</v>
      </c>
      <c r="O50" s="8">
        <f t="shared" si="6"/>
        <v>0</v>
      </c>
      <c r="P50" s="8">
        <f t="shared" si="6"/>
        <v>0</v>
      </c>
      <c r="Q50" s="8">
        <f t="shared" si="6"/>
        <v>0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</row>
    <row r="51" spans="2:29" ht="12" thickTop="1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2:29" ht="12.75" thickBot="1">
      <c r="G52" s="1" t="s">
        <v>63</v>
      </c>
      <c r="H52" s="8">
        <f>(I50/2)-H50</f>
        <v>0</v>
      </c>
      <c r="I52" s="5">
        <f>I50/2</f>
        <v>0</v>
      </c>
      <c r="J52" s="5"/>
      <c r="K52" s="71" t="s">
        <v>170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>
      <c r="G54" s="38"/>
      <c r="I54" s="5"/>
      <c r="J54" s="5"/>
      <c r="K54" s="5" t="s">
        <v>446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7"/>
      <c r="I55" s="5"/>
      <c r="J55" s="5"/>
      <c r="K55" s="5" t="s">
        <v>447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20"/>
      <c r="J56" s="5"/>
      <c r="K56" s="5" t="s">
        <v>170</v>
      </c>
      <c r="L56" s="5">
        <v>3470858.23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I57" s="20"/>
      <c r="J57" s="20"/>
      <c r="K57" s="5" t="s">
        <v>448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 ht="12" thickBot="1">
      <c r="I59" s="20"/>
      <c r="K59" s="5" t="s">
        <v>63</v>
      </c>
      <c r="L59" s="8">
        <f>L56-SUM(I50:X50)</f>
        <v>3470858.23</v>
      </c>
    </row>
    <row r="60" spans="2:29" ht="12" thickTop="1">
      <c r="I60" s="20"/>
    </row>
    <row r="61" spans="2:29">
      <c r="I61" s="7"/>
    </row>
    <row r="62" spans="2:29">
      <c r="I62" s="7">
        <v>1115813.18</v>
      </c>
    </row>
    <row r="63" spans="2:29">
      <c r="I63" s="7"/>
    </row>
    <row r="65" spans="9:9">
      <c r="I65" s="7"/>
    </row>
  </sheetData>
  <mergeCells count="1">
    <mergeCell ref="I5:AA5"/>
  </mergeCells>
  <pageMargins left="0.7" right="0.7" top="0.75" bottom="0.75" header="0.3" footer="0.3"/>
  <pageSetup scale="2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6EFB-D445-442A-9DCC-E9096810CA87}">
  <sheetPr>
    <pageSetUpPr fitToPage="1"/>
  </sheetPr>
  <dimension ref="B2:AG25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0.140625" style="1" bestFit="1" customWidth="1"/>
    <col min="34" max="16384" width="8.7109375" style="1"/>
  </cols>
  <sheetData>
    <row r="2" spans="2:33" ht="15.75">
      <c r="B2" s="2" t="s">
        <v>668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21" si="0">F6*15/115</f>
        <v>0</v>
      </c>
      <c r="H6" s="5">
        <f t="shared" ref="H6:H22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22" si="2">SUM(N6:AD6)</f>
        <v>0</v>
      </c>
      <c r="AF6" s="5"/>
      <c r="AG6" s="5">
        <f t="shared" ref="AG6:AG22" si="3">+AE6-H6</f>
        <v>0</v>
      </c>
    </row>
    <row r="7" spans="2:33">
      <c r="C7" s="6"/>
      <c r="F7" s="19"/>
      <c r="G7" s="5">
        <f t="shared" si="0"/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L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L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>
        <v>0</v>
      </c>
      <c r="G19" s="5">
        <f t="shared" si="0"/>
        <v>0</v>
      </c>
      <c r="H19" s="5">
        <f t="shared" si="1"/>
        <v>0</v>
      </c>
      <c r="J19" s="6"/>
      <c r="K19" s="5"/>
      <c r="L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>
        <v>0</v>
      </c>
      <c r="G20" s="5">
        <f t="shared" si="0"/>
        <v>0</v>
      </c>
      <c r="H20" s="5">
        <f t="shared" si="1"/>
        <v>0</v>
      </c>
      <c r="J20" s="6"/>
      <c r="K20" s="5"/>
      <c r="L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>
        <v>0</v>
      </c>
      <c r="G21" s="5">
        <f t="shared" si="0"/>
        <v>0</v>
      </c>
      <c r="H21" s="5">
        <f t="shared" si="1"/>
        <v>0</v>
      </c>
      <c r="J21" s="6"/>
      <c r="K21" s="5">
        <v>0</v>
      </c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>
        <v>0</v>
      </c>
      <c r="G22" s="5">
        <v>0</v>
      </c>
      <c r="H22" s="5">
        <f t="shared" si="1"/>
        <v>0</v>
      </c>
      <c r="J22" s="6"/>
      <c r="K22" s="5">
        <v>0</v>
      </c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f t="shared" si="2"/>
        <v>0</v>
      </c>
      <c r="AF22" s="5"/>
      <c r="AG22" s="5">
        <f t="shared" si="3"/>
        <v>0</v>
      </c>
    </row>
    <row r="23" spans="3:33"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3:33" ht="12" thickBot="1">
      <c r="F24" s="8">
        <f>SUM(F6:F23)</f>
        <v>0</v>
      </c>
      <c r="G24" s="8">
        <f>SUM(G6:G23)</f>
        <v>0</v>
      </c>
      <c r="H24" s="8">
        <f>SUM(H6:H23)</f>
        <v>0</v>
      </c>
      <c r="K24" s="8">
        <f>SUM(K6:K23)</f>
        <v>0</v>
      </c>
      <c r="N24" s="8">
        <f>SUM(N6:N23)</f>
        <v>0</v>
      </c>
      <c r="O24" s="8">
        <f t="shared" ref="O24:AG24" si="4">SUM(O6:O23)</f>
        <v>0</v>
      </c>
      <c r="P24" s="8">
        <f t="shared" si="4"/>
        <v>0</v>
      </c>
      <c r="Q24" s="8">
        <f t="shared" si="4"/>
        <v>0</v>
      </c>
      <c r="R24" s="8">
        <f t="shared" si="4"/>
        <v>0</v>
      </c>
      <c r="S24" s="8">
        <f t="shared" si="4"/>
        <v>0</v>
      </c>
      <c r="T24" s="8">
        <f t="shared" si="4"/>
        <v>0</v>
      </c>
      <c r="U24" s="8">
        <f t="shared" si="4"/>
        <v>0</v>
      </c>
      <c r="V24" s="8">
        <f t="shared" si="4"/>
        <v>0</v>
      </c>
      <c r="W24" s="8">
        <f t="shared" si="4"/>
        <v>0</v>
      </c>
      <c r="X24" s="8">
        <f t="shared" si="4"/>
        <v>0</v>
      </c>
      <c r="Y24" s="8">
        <f t="shared" si="4"/>
        <v>0</v>
      </c>
      <c r="Z24" s="8">
        <f t="shared" si="4"/>
        <v>0</v>
      </c>
      <c r="AA24" s="8">
        <f t="shared" si="4"/>
        <v>0</v>
      </c>
      <c r="AB24" s="8">
        <f t="shared" si="4"/>
        <v>0</v>
      </c>
      <c r="AC24" s="8">
        <f t="shared" si="4"/>
        <v>0</v>
      </c>
      <c r="AD24" s="8">
        <f t="shared" si="4"/>
        <v>0</v>
      </c>
      <c r="AE24" s="8">
        <f t="shared" si="4"/>
        <v>0</v>
      </c>
      <c r="AF24" s="8">
        <f t="shared" si="4"/>
        <v>0</v>
      </c>
      <c r="AG24" s="8">
        <f t="shared" si="4"/>
        <v>0</v>
      </c>
    </row>
    <row r="25" spans="3:33" ht="12" thickTop="1"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F897-EA3A-4A68-A02B-E10CE0D93D42}">
  <sheetPr>
    <pageSetUpPr fitToPage="1"/>
  </sheetPr>
  <dimension ref="B2:AC65"/>
  <sheetViews>
    <sheetView zoomScale="80" zoomScaleNormal="80" workbookViewId="0">
      <pane xSplit="7" ySplit="7" topLeftCell="W8" activePane="bottomRight" state="frozen"/>
      <selection pane="bottomRight" activeCell="H6" sqref="H6:Z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0.7109375" style="1" bestFit="1" customWidth="1"/>
    <col min="25" max="25" width="12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669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6"/>
      <c r="D8" s="16"/>
      <c r="E8" s="7"/>
      <c r="F8" s="18">
        <f t="shared" ref="F8:F39" si="0">E8*15/115</f>
        <v>0</v>
      </c>
      <c r="G8" s="18">
        <f t="shared" ref="G8:G47" si="1">E8-F8</f>
        <v>0</v>
      </c>
      <c r="H8" s="7"/>
      <c r="Z8" s="7"/>
      <c r="AA8" s="5">
        <f t="shared" ref="AA8:AA38" si="2">SUM(I8:Z8)</f>
        <v>0</v>
      </c>
      <c r="AB8" s="7"/>
      <c r="AC8" s="7">
        <f t="shared" ref="AC8:AC38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v>0</v>
      </c>
      <c r="G31" s="18">
        <f t="shared" si="1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>
        <v>0</v>
      </c>
      <c r="G32" s="18">
        <f t="shared" si="1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>
        <v>0</v>
      </c>
      <c r="G36" s="18">
        <f t="shared" si="1"/>
        <v>0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f t="shared" si="0"/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f t="shared" si="0"/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C39" s="7"/>
    </row>
    <row r="40" spans="2:29">
      <c r="B40" s="17"/>
      <c r="C40" s="14"/>
      <c r="D40" s="23"/>
      <c r="E40" s="18"/>
      <c r="F40" s="18">
        <v>0</v>
      </c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ref="AA40:AA48" si="4">SUM(I40:Z40)</f>
        <v>0</v>
      </c>
      <c r="AC40" s="7">
        <f t="shared" ref="AC40:AC48" si="5">G40-AA40</f>
        <v>0</v>
      </c>
    </row>
    <row r="41" spans="2:29">
      <c r="B41" s="17"/>
      <c r="C41" s="14"/>
      <c r="D41" s="23"/>
      <c r="E41" s="18"/>
      <c r="F41" s="18">
        <v>0</v>
      </c>
      <c r="G41" s="18">
        <f t="shared" si="1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4"/>
        <v>0</v>
      </c>
      <c r="AC41" s="7">
        <f t="shared" si="5"/>
        <v>0</v>
      </c>
    </row>
    <row r="42" spans="2:29">
      <c r="B42" s="17"/>
      <c r="C42" s="14"/>
      <c r="D42" s="23"/>
      <c r="E42" s="18"/>
      <c r="F42" s="18">
        <v>0</v>
      </c>
      <c r="G42" s="18">
        <f t="shared" si="1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4"/>
        <v>0</v>
      </c>
      <c r="AC42" s="7">
        <f t="shared" si="5"/>
        <v>0</v>
      </c>
    </row>
    <row r="43" spans="2:29">
      <c r="B43" s="17"/>
      <c r="C43" s="14"/>
      <c r="D43" s="23"/>
      <c r="E43" s="18"/>
      <c r="F43" s="18">
        <v>0</v>
      </c>
      <c r="G43" s="18">
        <f t="shared" si="1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4"/>
        <v>0</v>
      </c>
      <c r="AC43" s="7">
        <f t="shared" si="5"/>
        <v>0</v>
      </c>
    </row>
    <row r="44" spans="2:29">
      <c r="B44" s="17"/>
      <c r="C44" s="14"/>
      <c r="D44" s="23"/>
      <c r="E44" s="18"/>
      <c r="F44" s="18">
        <v>0</v>
      </c>
      <c r="G44" s="18">
        <f t="shared" si="1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4"/>
        <v>0</v>
      </c>
      <c r="AC44" s="7">
        <f t="shared" si="5"/>
        <v>0</v>
      </c>
    </row>
    <row r="45" spans="2:29">
      <c r="B45" s="17"/>
      <c r="C45" s="14"/>
      <c r="D45" s="23"/>
      <c r="E45" s="26"/>
      <c r="F45" s="18"/>
      <c r="G45" s="18">
        <f t="shared" si="1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4"/>
        <v>0</v>
      </c>
      <c r="AC45" s="7">
        <f t="shared" si="5"/>
        <v>0</v>
      </c>
    </row>
    <row r="46" spans="2:29">
      <c r="B46" s="17"/>
      <c r="C46" s="14"/>
      <c r="D46" s="23"/>
      <c r="E46" s="26"/>
      <c r="F46" s="18"/>
      <c r="G46" s="18">
        <f t="shared" si="1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4"/>
        <v>0</v>
      </c>
      <c r="AC46" s="7">
        <f t="shared" si="5"/>
        <v>0</v>
      </c>
    </row>
    <row r="47" spans="2:29">
      <c r="B47" s="17"/>
      <c r="C47" s="14"/>
      <c r="D47" s="23"/>
      <c r="E47" s="26"/>
      <c r="F47" s="18"/>
      <c r="G47" s="18">
        <f t="shared" si="1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4"/>
        <v>0</v>
      </c>
      <c r="AC47" s="7">
        <f t="shared" si="5"/>
        <v>0</v>
      </c>
    </row>
    <row r="48" spans="2:29">
      <c r="B48" s="17"/>
      <c r="C48" s="14"/>
      <c r="D48" s="23"/>
      <c r="E48" s="26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4"/>
        <v>0</v>
      </c>
      <c r="AC48" s="7">
        <f t="shared" si="5"/>
        <v>0</v>
      </c>
    </row>
    <row r="49" spans="2:29">
      <c r="B49" s="17"/>
      <c r="C49" s="14"/>
      <c r="D49" s="14"/>
      <c r="E49" s="18"/>
      <c r="F49" s="18"/>
      <c r="G49" s="1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C49" s="7"/>
    </row>
    <row r="50" spans="2:29" ht="12" thickBot="1">
      <c r="E50" s="8">
        <f>SUM(E8:E48)</f>
        <v>0</v>
      </c>
      <c r="F50" s="8">
        <f t="shared" ref="F50:AC50" si="6">SUM(F8:F48)</f>
        <v>0</v>
      </c>
      <c r="G50" s="8">
        <f t="shared" si="6"/>
        <v>0</v>
      </c>
      <c r="H50" s="8">
        <f t="shared" si="6"/>
        <v>0</v>
      </c>
      <c r="I50" s="8">
        <f t="shared" si="6"/>
        <v>0</v>
      </c>
      <c r="J50" s="8">
        <f t="shared" si="6"/>
        <v>0</v>
      </c>
      <c r="K50" s="8">
        <f t="shared" si="6"/>
        <v>0</v>
      </c>
      <c r="L50" s="8">
        <f t="shared" si="6"/>
        <v>0</v>
      </c>
      <c r="M50" s="8">
        <f t="shared" si="6"/>
        <v>0</v>
      </c>
      <c r="N50" s="8">
        <f t="shared" si="6"/>
        <v>0</v>
      </c>
      <c r="O50" s="8">
        <f t="shared" si="6"/>
        <v>0</v>
      </c>
      <c r="P50" s="8">
        <f t="shared" si="6"/>
        <v>0</v>
      </c>
      <c r="Q50" s="8">
        <f t="shared" si="6"/>
        <v>0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</row>
    <row r="51" spans="2:29" ht="12" thickTop="1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2:29" ht="12.75" thickBot="1">
      <c r="G52" s="1" t="s">
        <v>63</v>
      </c>
      <c r="H52" s="8">
        <f>(I50/2)-H50</f>
        <v>0</v>
      </c>
      <c r="I52" s="5">
        <f>I50/2</f>
        <v>0</v>
      </c>
      <c r="J52" s="5"/>
      <c r="K52" s="71" t="s">
        <v>170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>
      <c r="G54" s="38"/>
      <c r="I54" s="5"/>
      <c r="J54" s="5"/>
      <c r="K54" s="5" t="s">
        <v>446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7"/>
      <c r="I55" s="5"/>
      <c r="J55" s="5"/>
      <c r="K55" s="5" t="s">
        <v>447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20"/>
      <c r="J56" s="5"/>
      <c r="K56" s="5" t="s">
        <v>170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I57" s="20"/>
      <c r="J57" s="20"/>
      <c r="K57" s="5" t="s">
        <v>448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 ht="12" thickBot="1">
      <c r="I59" s="20"/>
      <c r="K59" s="5" t="s">
        <v>63</v>
      </c>
      <c r="L59" s="8"/>
    </row>
    <row r="60" spans="2:29" ht="12" thickTop="1">
      <c r="I60" s="20"/>
    </row>
    <row r="61" spans="2:29">
      <c r="I61" s="7"/>
    </row>
    <row r="62" spans="2:29">
      <c r="I62" s="7">
        <v>1115813.18</v>
      </c>
    </row>
    <row r="63" spans="2:29">
      <c r="I63" s="7"/>
    </row>
    <row r="65" spans="9:9">
      <c r="I65" s="7"/>
    </row>
  </sheetData>
  <mergeCells count="1">
    <mergeCell ref="I5:AA5"/>
  </mergeCells>
  <pageMargins left="0.7" right="0.7" top="0.75" bottom="0.75" header="0.3" footer="0.3"/>
  <pageSetup scale="2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1E31-F64A-4DA0-B8EF-EC9E7F142307}">
  <sheetPr>
    <pageSetUpPr fitToPage="1"/>
  </sheetPr>
  <dimension ref="B2:AG25"/>
  <sheetViews>
    <sheetView zoomScale="80" zoomScaleNormal="80" workbookViewId="0">
      <pane xSplit="11" ySplit="4" topLeftCell="AB5" activePane="bottomRight" state="frozen"/>
      <selection pane="bottomRight" activeCell="N4" sqref="N4:AD4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0.140625" style="1" bestFit="1" customWidth="1"/>
    <col min="34" max="16384" width="8.7109375" style="1"/>
  </cols>
  <sheetData>
    <row r="2" spans="2:33" ht="15.75">
      <c r="B2" s="2" t="s">
        <v>670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3">
      <c r="C6" s="6"/>
      <c r="F6" s="19"/>
      <c r="G6" s="5">
        <f t="shared" ref="G6:G21" si="0">F6*15/115</f>
        <v>0</v>
      </c>
      <c r="H6" s="5">
        <f t="shared" ref="H6:H22" si="1">F6-G6</f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ref="AE6:AE21" si="2">SUM(N6:AD6)</f>
        <v>0</v>
      </c>
      <c r="AF6" s="5"/>
      <c r="AG6" s="5">
        <f t="shared" ref="AG6:AG22" si="3">+AE6-H6</f>
        <v>0</v>
      </c>
    </row>
    <row r="7" spans="2:33">
      <c r="C7" s="6"/>
      <c r="F7" s="19"/>
      <c r="G7" s="5">
        <f t="shared" si="0"/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C14" s="6"/>
      <c r="F14" s="19"/>
      <c r="G14" s="5">
        <f t="shared" si="0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C15" s="6"/>
      <c r="F15" s="19"/>
      <c r="G15" s="5">
        <f t="shared" si="0"/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L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L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L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L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/>
      <c r="G22" s="5"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f t="shared" si="3"/>
        <v>0</v>
      </c>
    </row>
    <row r="23" spans="3:33"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3:33" ht="12" thickBot="1">
      <c r="F24" s="8">
        <f>SUM(F6:F23)</f>
        <v>0</v>
      </c>
      <c r="G24" s="8">
        <f>SUM(G6:G23)</f>
        <v>0</v>
      </c>
      <c r="H24" s="8">
        <f>SUM(H6:H23)</f>
        <v>0</v>
      </c>
      <c r="K24" s="8">
        <f>SUM(K6:K23)</f>
        <v>0</v>
      </c>
      <c r="N24" s="8">
        <f>SUM(N6:N23)</f>
        <v>0</v>
      </c>
      <c r="O24" s="8">
        <f t="shared" ref="O24:AG24" si="4">SUM(O6:O23)</f>
        <v>0</v>
      </c>
      <c r="P24" s="8">
        <f t="shared" si="4"/>
        <v>0</v>
      </c>
      <c r="Q24" s="8">
        <f t="shared" si="4"/>
        <v>0</v>
      </c>
      <c r="R24" s="8">
        <f t="shared" si="4"/>
        <v>0</v>
      </c>
      <c r="S24" s="8">
        <f t="shared" si="4"/>
        <v>0</v>
      </c>
      <c r="T24" s="8">
        <f t="shared" si="4"/>
        <v>0</v>
      </c>
      <c r="U24" s="8">
        <f t="shared" si="4"/>
        <v>0</v>
      </c>
      <c r="V24" s="8">
        <f t="shared" si="4"/>
        <v>0</v>
      </c>
      <c r="W24" s="8">
        <f t="shared" si="4"/>
        <v>0</v>
      </c>
      <c r="X24" s="8">
        <f t="shared" si="4"/>
        <v>0</v>
      </c>
      <c r="Y24" s="8">
        <f t="shared" si="4"/>
        <v>0</v>
      </c>
      <c r="Z24" s="8">
        <f t="shared" si="4"/>
        <v>0</v>
      </c>
      <c r="AA24" s="8">
        <f t="shared" si="4"/>
        <v>0</v>
      </c>
      <c r="AB24" s="8">
        <f t="shared" si="4"/>
        <v>0</v>
      </c>
      <c r="AC24" s="8">
        <f t="shared" si="4"/>
        <v>0</v>
      </c>
      <c r="AD24" s="8">
        <f t="shared" si="4"/>
        <v>0</v>
      </c>
      <c r="AE24" s="8">
        <f t="shared" si="4"/>
        <v>0</v>
      </c>
      <c r="AF24" s="8">
        <f t="shared" si="4"/>
        <v>0</v>
      </c>
      <c r="AG24" s="8">
        <f t="shared" si="4"/>
        <v>0</v>
      </c>
    </row>
    <row r="25" spans="3:33" ht="12" thickTop="1"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2C9C-B070-4A80-8F08-FDB7F94D28B7}">
  <sheetPr>
    <pageSetUpPr fitToPage="1"/>
  </sheetPr>
  <dimension ref="B2:AC65"/>
  <sheetViews>
    <sheetView zoomScale="80" zoomScaleNormal="80" workbookViewId="0">
      <pane xSplit="7" ySplit="7" topLeftCell="V8" activePane="bottomRight" state="frozen"/>
      <selection pane="bottomRight" activeCell="AA1" sqref="AA1:AA1048576"/>
      <selection pane="bottomLeft" activeCell="A8" sqref="A8"/>
      <selection pane="topRight" activeCell="H1" sqref="H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0.5703125" style="1" bestFit="1" customWidth="1"/>
    <col min="7" max="7" width="15.85546875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7" width="18" style="1" customWidth="1"/>
    <col min="18" max="18" width="23.5703125" style="1" bestFit="1" customWidth="1"/>
    <col min="19" max="19" width="21.7109375" style="1" bestFit="1" customWidth="1"/>
    <col min="20" max="20" width="22.7109375" style="1" bestFit="1" customWidth="1"/>
    <col min="21" max="23" width="18" style="1" customWidth="1"/>
    <col min="24" max="24" width="16" style="1" bestFit="1" customWidth="1"/>
    <col min="25" max="25" width="15.5703125" style="1" bestFit="1" customWidth="1"/>
    <col min="26" max="26" width="34.85546875" style="1" bestFit="1" customWidth="1"/>
    <col min="27" max="27" width="17.28515625" style="1" bestFit="1" customWidth="1"/>
    <col min="28" max="28" width="8.85546875" style="1"/>
    <col min="29" max="29" width="11.140625" style="1" bestFit="1" customWidth="1"/>
    <col min="30" max="16384" width="8.85546875" style="1"/>
  </cols>
  <sheetData>
    <row r="2" spans="2:29" ht="15.75">
      <c r="B2" s="15" t="s">
        <v>369</v>
      </c>
    </row>
    <row r="3" spans="2:29" ht="15.75">
      <c r="B3" s="15"/>
    </row>
    <row r="4" spans="2:29" ht="15.75">
      <c r="B4" s="15" t="s">
        <v>671</v>
      </c>
      <c r="AA4" s="27"/>
    </row>
    <row r="5" spans="2:29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45</v>
      </c>
      <c r="U6" s="4" t="s">
        <v>180</v>
      </c>
      <c r="V6" s="4" t="s">
        <v>375</v>
      </c>
      <c r="W6" s="4" t="s">
        <v>201</v>
      </c>
      <c r="X6" s="4" t="s">
        <v>376</v>
      </c>
      <c r="Y6" s="4" t="s">
        <v>377</v>
      </c>
      <c r="Z6" s="4" t="s">
        <v>203</v>
      </c>
      <c r="AA6" s="4" t="s">
        <v>204</v>
      </c>
      <c r="AC6" s="25" t="s">
        <v>63</v>
      </c>
    </row>
    <row r="8" spans="2:29">
      <c r="B8" s="6"/>
      <c r="D8" s="16"/>
      <c r="E8" s="7"/>
      <c r="F8" s="18">
        <f t="shared" ref="F8:F39" si="0">E8*15/115</f>
        <v>0</v>
      </c>
      <c r="G8" s="18">
        <f t="shared" ref="G8:G47" si="1">E8-F8</f>
        <v>0</v>
      </c>
      <c r="H8" s="7"/>
      <c r="Z8" s="7"/>
      <c r="AA8" s="5">
        <f t="shared" ref="AA8:AA38" si="2">SUM(I8:Z8)</f>
        <v>0</v>
      </c>
      <c r="AB8" s="7"/>
      <c r="AC8" s="7">
        <f t="shared" ref="AC8:AC38" si="3">G8-AA8</f>
        <v>0</v>
      </c>
    </row>
    <row r="9" spans="2:29">
      <c r="B9" s="17"/>
      <c r="C9" s="14"/>
      <c r="D9" s="23"/>
      <c r="E9" s="18"/>
      <c r="F9" s="18">
        <f t="shared" si="0"/>
        <v>0</v>
      </c>
      <c r="G9" s="18">
        <f t="shared" si="1"/>
        <v>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2"/>
        <v>0</v>
      </c>
      <c r="AC9" s="7">
        <f t="shared" si="3"/>
        <v>0</v>
      </c>
    </row>
    <row r="10" spans="2:29">
      <c r="B10" s="17"/>
      <c r="C10" s="14"/>
      <c r="D10" s="23"/>
      <c r="E10" s="18"/>
      <c r="F10" s="18">
        <f t="shared" si="0"/>
        <v>0</v>
      </c>
      <c r="G10" s="18">
        <f t="shared" si="1"/>
        <v>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2"/>
        <v>0</v>
      </c>
      <c r="AC10" s="7">
        <f t="shared" si="3"/>
        <v>0</v>
      </c>
    </row>
    <row r="11" spans="2:29">
      <c r="B11" s="17"/>
      <c r="C11" s="14"/>
      <c r="D11" s="23"/>
      <c r="E11" s="18"/>
      <c r="F11" s="18">
        <f t="shared" si="0"/>
        <v>0</v>
      </c>
      <c r="G11" s="18">
        <f t="shared" si="1"/>
        <v>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2"/>
        <v>0</v>
      </c>
      <c r="AC11" s="7">
        <f t="shared" si="3"/>
        <v>0</v>
      </c>
    </row>
    <row r="12" spans="2:29">
      <c r="B12" s="17"/>
      <c r="C12" s="14"/>
      <c r="D12" s="23"/>
      <c r="E12" s="18"/>
      <c r="F12" s="18">
        <f t="shared" si="0"/>
        <v>0</v>
      </c>
      <c r="G12" s="18">
        <f t="shared" si="1"/>
        <v>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2"/>
        <v>0</v>
      </c>
      <c r="AC12" s="7">
        <f t="shared" si="3"/>
        <v>0</v>
      </c>
    </row>
    <row r="13" spans="2:29">
      <c r="B13" s="17"/>
      <c r="C13" s="14"/>
      <c r="D13" s="23"/>
      <c r="E13" s="18"/>
      <c r="F13" s="18">
        <f t="shared" si="0"/>
        <v>0</v>
      </c>
      <c r="G13" s="18">
        <f t="shared" si="1"/>
        <v>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2"/>
        <v>0</v>
      </c>
      <c r="AC13" s="7">
        <f t="shared" si="3"/>
        <v>0</v>
      </c>
    </row>
    <row r="14" spans="2:29">
      <c r="B14" s="17"/>
      <c r="C14" s="14"/>
      <c r="D14" s="23"/>
      <c r="E14" s="18"/>
      <c r="F14" s="18">
        <f t="shared" si="0"/>
        <v>0</v>
      </c>
      <c r="G14" s="18">
        <f t="shared" si="1"/>
        <v>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2"/>
        <v>0</v>
      </c>
      <c r="AC14" s="7">
        <f t="shared" si="3"/>
        <v>0</v>
      </c>
    </row>
    <row r="15" spans="2:29">
      <c r="B15" s="17"/>
      <c r="C15" s="14"/>
      <c r="D15" s="23"/>
      <c r="E15" s="18"/>
      <c r="F15" s="18">
        <f t="shared" si="0"/>
        <v>0</v>
      </c>
      <c r="G15" s="18">
        <f t="shared" si="1"/>
        <v>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f t="shared" si="2"/>
        <v>0</v>
      </c>
      <c r="AC15" s="7">
        <f t="shared" si="3"/>
        <v>0</v>
      </c>
    </row>
    <row r="16" spans="2:29">
      <c r="B16" s="17"/>
      <c r="C16" s="14"/>
      <c r="D16" s="23"/>
      <c r="E16" s="18"/>
      <c r="F16" s="18">
        <f t="shared" si="0"/>
        <v>0</v>
      </c>
      <c r="G16" s="18">
        <f t="shared" si="1"/>
        <v>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si="2"/>
        <v>0</v>
      </c>
      <c r="AC16" s="7">
        <f t="shared" si="3"/>
        <v>0</v>
      </c>
    </row>
    <row r="17" spans="2:29">
      <c r="B17" s="17"/>
      <c r="C17" s="14"/>
      <c r="D17" s="23"/>
      <c r="E17" s="18"/>
      <c r="F17" s="18">
        <f t="shared" si="0"/>
        <v>0</v>
      </c>
      <c r="G17" s="18">
        <f t="shared" si="1"/>
        <v>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 t="shared" si="2"/>
        <v>0</v>
      </c>
      <c r="AC17" s="7">
        <f t="shared" si="3"/>
        <v>0</v>
      </c>
    </row>
    <row r="18" spans="2:29">
      <c r="B18" s="17"/>
      <c r="C18" s="14"/>
      <c r="D18" s="23"/>
      <c r="E18" s="18"/>
      <c r="F18" s="18">
        <f t="shared" si="0"/>
        <v>0</v>
      </c>
      <c r="G18" s="18">
        <f t="shared" si="1"/>
        <v>0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 t="shared" si="2"/>
        <v>0</v>
      </c>
      <c r="AC18" s="7">
        <f t="shared" si="3"/>
        <v>0</v>
      </c>
    </row>
    <row r="19" spans="2:29">
      <c r="B19" s="17"/>
      <c r="C19" s="14"/>
      <c r="D19" s="23"/>
      <c r="E19" s="18"/>
      <c r="F19" s="18">
        <f t="shared" si="0"/>
        <v>0</v>
      </c>
      <c r="G19" s="18">
        <f t="shared" si="1"/>
        <v>0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si="2"/>
        <v>0</v>
      </c>
      <c r="AC19" s="7">
        <f t="shared" si="3"/>
        <v>0</v>
      </c>
    </row>
    <row r="20" spans="2:29">
      <c r="B20" s="17"/>
      <c r="C20" s="14"/>
      <c r="D20" s="23"/>
      <c r="E20" s="18"/>
      <c r="F20" s="18">
        <f t="shared" si="0"/>
        <v>0</v>
      </c>
      <c r="G20" s="18">
        <f t="shared" si="1"/>
        <v>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si="2"/>
        <v>0</v>
      </c>
      <c r="AC20" s="7">
        <f t="shared" si="3"/>
        <v>0</v>
      </c>
    </row>
    <row r="21" spans="2:29">
      <c r="B21" s="17"/>
      <c r="C21" s="14"/>
      <c r="D21" s="23"/>
      <c r="E21" s="18"/>
      <c r="F21" s="18">
        <f t="shared" si="0"/>
        <v>0</v>
      </c>
      <c r="G21" s="18">
        <f t="shared" si="1"/>
        <v>0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si="2"/>
        <v>0</v>
      </c>
      <c r="AC21" s="7">
        <f t="shared" si="3"/>
        <v>0</v>
      </c>
    </row>
    <row r="22" spans="2:29">
      <c r="B22" s="17"/>
      <c r="C22" s="14"/>
      <c r="D22" s="23"/>
      <c r="E22" s="18"/>
      <c r="F22" s="18">
        <f t="shared" si="0"/>
        <v>0</v>
      </c>
      <c r="G22" s="18">
        <f t="shared" si="1"/>
        <v>0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 t="shared" si="2"/>
        <v>0</v>
      </c>
      <c r="AC22" s="7">
        <f t="shared" si="3"/>
        <v>0</v>
      </c>
    </row>
    <row r="23" spans="2:29">
      <c r="B23" s="17"/>
      <c r="C23" s="14"/>
      <c r="D23" s="23"/>
      <c r="E23" s="18"/>
      <c r="F23" s="18">
        <f t="shared" si="0"/>
        <v>0</v>
      </c>
      <c r="G23" s="18">
        <f t="shared" si="1"/>
        <v>0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2"/>
        <v>0</v>
      </c>
      <c r="AC23" s="7">
        <f t="shared" si="3"/>
        <v>0</v>
      </c>
    </row>
    <row r="24" spans="2:29">
      <c r="B24" s="17"/>
      <c r="C24" s="14"/>
      <c r="D24" s="23"/>
      <c r="E24" s="18"/>
      <c r="F24" s="18">
        <f t="shared" si="0"/>
        <v>0</v>
      </c>
      <c r="G24" s="18">
        <f t="shared" si="1"/>
        <v>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 t="shared" si="2"/>
        <v>0</v>
      </c>
      <c r="AC24" s="7">
        <f t="shared" si="3"/>
        <v>0</v>
      </c>
    </row>
    <row r="25" spans="2:29">
      <c r="B25" s="17"/>
      <c r="C25" s="14"/>
      <c r="D25" s="23"/>
      <c r="E25" s="18"/>
      <c r="F25" s="18">
        <f t="shared" si="0"/>
        <v>0</v>
      </c>
      <c r="G25" s="18">
        <f t="shared" si="1"/>
        <v>0</v>
      </c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 t="shared" si="2"/>
        <v>0</v>
      </c>
      <c r="AC25" s="7">
        <f t="shared" si="3"/>
        <v>0</v>
      </c>
    </row>
    <row r="26" spans="2:29">
      <c r="B26" s="17"/>
      <c r="C26" s="14"/>
      <c r="D26" s="23"/>
      <c r="E26" s="18"/>
      <c r="F26" s="18">
        <f t="shared" si="0"/>
        <v>0</v>
      </c>
      <c r="G26" s="18">
        <f t="shared" si="1"/>
        <v>0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2"/>
        <v>0</v>
      </c>
      <c r="AC26" s="7">
        <f t="shared" si="3"/>
        <v>0</v>
      </c>
    </row>
    <row r="27" spans="2:29">
      <c r="B27" s="17"/>
      <c r="C27" s="14"/>
      <c r="D27" s="23"/>
      <c r="E27" s="18"/>
      <c r="F27" s="18">
        <f t="shared" si="0"/>
        <v>0</v>
      </c>
      <c r="G27" s="18">
        <f t="shared" si="1"/>
        <v>0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 t="shared" si="2"/>
        <v>0</v>
      </c>
      <c r="AC27" s="7">
        <f t="shared" si="3"/>
        <v>0</v>
      </c>
    </row>
    <row r="28" spans="2:29">
      <c r="B28" s="17"/>
      <c r="C28" s="14"/>
      <c r="D28" s="23"/>
      <c r="E28" s="18"/>
      <c r="F28" s="18">
        <f t="shared" si="0"/>
        <v>0</v>
      </c>
      <c r="G28" s="18">
        <f t="shared" si="1"/>
        <v>0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 t="shared" si="2"/>
        <v>0</v>
      </c>
      <c r="AC28" s="7">
        <f t="shared" si="3"/>
        <v>0</v>
      </c>
    </row>
    <row r="29" spans="2:29">
      <c r="B29" s="17"/>
      <c r="C29" s="14"/>
      <c r="D29" s="23"/>
      <c r="E29" s="18"/>
      <c r="F29" s="18">
        <f t="shared" si="0"/>
        <v>0</v>
      </c>
      <c r="G29" s="18">
        <f t="shared" si="1"/>
        <v>0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f t="shared" si="2"/>
        <v>0</v>
      </c>
      <c r="AC29" s="7">
        <f t="shared" si="3"/>
        <v>0</v>
      </c>
    </row>
    <row r="30" spans="2:29">
      <c r="B30" s="17"/>
      <c r="C30" s="14"/>
      <c r="D30" s="23"/>
      <c r="E30" s="18"/>
      <c r="F30" s="18">
        <f t="shared" si="0"/>
        <v>0</v>
      </c>
      <c r="G30" s="18">
        <f t="shared" si="1"/>
        <v>0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f t="shared" si="2"/>
        <v>0</v>
      </c>
      <c r="AC30" s="7">
        <f t="shared" si="3"/>
        <v>0</v>
      </c>
    </row>
    <row r="31" spans="2:29">
      <c r="B31" s="17"/>
      <c r="C31" s="14"/>
      <c r="D31" s="23"/>
      <c r="E31" s="18"/>
      <c r="F31" s="18">
        <v>0</v>
      </c>
      <c r="G31" s="18">
        <f t="shared" si="1"/>
        <v>0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 t="shared" si="2"/>
        <v>0</v>
      </c>
      <c r="AC31" s="7">
        <f t="shared" si="3"/>
        <v>0</v>
      </c>
    </row>
    <row r="32" spans="2:29">
      <c r="B32" s="17"/>
      <c r="C32" s="14"/>
      <c r="D32" s="23"/>
      <c r="E32" s="18"/>
      <c r="F32" s="18">
        <v>0</v>
      </c>
      <c r="G32" s="18">
        <f t="shared" si="1"/>
        <v>0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>
        <f t="shared" si="2"/>
        <v>0</v>
      </c>
      <c r="AC32" s="7">
        <f t="shared" si="3"/>
        <v>0</v>
      </c>
    </row>
    <row r="33" spans="2:29">
      <c r="B33" s="17"/>
      <c r="C33" s="14"/>
      <c r="D33" s="23"/>
      <c r="E33" s="18"/>
      <c r="F33" s="18">
        <v>0</v>
      </c>
      <c r="G33" s="18">
        <f t="shared" si="1"/>
        <v>0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f t="shared" si="2"/>
        <v>0</v>
      </c>
      <c r="AC33" s="7">
        <f t="shared" si="3"/>
        <v>0</v>
      </c>
    </row>
    <row r="34" spans="2:29">
      <c r="B34" s="17"/>
      <c r="C34" s="14"/>
      <c r="D34" s="23"/>
      <c r="E34" s="18"/>
      <c r="F34" s="18">
        <v>0</v>
      </c>
      <c r="G34" s="18">
        <f t="shared" si="1"/>
        <v>0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>
        <f t="shared" si="2"/>
        <v>0</v>
      </c>
      <c r="AC34" s="7">
        <f t="shared" si="3"/>
        <v>0</v>
      </c>
    </row>
    <row r="35" spans="2:29">
      <c r="B35" s="17"/>
      <c r="C35" s="14"/>
      <c r="D35" s="23"/>
      <c r="E35" s="18"/>
      <c r="F35" s="18">
        <v>0</v>
      </c>
      <c r="G35" s="18">
        <f t="shared" si="1"/>
        <v>0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f t="shared" si="2"/>
        <v>0</v>
      </c>
      <c r="AC35" s="7">
        <f t="shared" si="3"/>
        <v>0</v>
      </c>
    </row>
    <row r="36" spans="2:29">
      <c r="B36" s="17"/>
      <c r="C36" s="14"/>
      <c r="D36" s="23"/>
      <c r="E36" s="18"/>
      <c r="F36" s="18">
        <v>0</v>
      </c>
      <c r="G36" s="18">
        <f t="shared" si="1"/>
        <v>0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f t="shared" si="2"/>
        <v>0</v>
      </c>
      <c r="AC36" s="7">
        <f t="shared" si="3"/>
        <v>0</v>
      </c>
    </row>
    <row r="37" spans="2:29">
      <c r="B37" s="17"/>
      <c r="C37" s="14"/>
      <c r="D37" s="23"/>
      <c r="E37" s="18"/>
      <c r="F37" s="18">
        <v>0</v>
      </c>
      <c r="G37" s="18">
        <f t="shared" si="1"/>
        <v>0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f t="shared" si="2"/>
        <v>0</v>
      </c>
      <c r="AC37" s="7">
        <f t="shared" si="3"/>
        <v>0</v>
      </c>
    </row>
    <row r="38" spans="2:29">
      <c r="B38" s="17"/>
      <c r="C38" s="14"/>
      <c r="D38" s="23"/>
      <c r="E38" s="18"/>
      <c r="F38" s="18">
        <f t="shared" si="0"/>
        <v>0</v>
      </c>
      <c r="G38" s="18">
        <f t="shared" si="1"/>
        <v>0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f t="shared" si="2"/>
        <v>0</v>
      </c>
      <c r="AC38" s="7">
        <f t="shared" si="3"/>
        <v>0</v>
      </c>
    </row>
    <row r="39" spans="2:29">
      <c r="B39" s="17"/>
      <c r="C39" s="14"/>
      <c r="D39" s="23"/>
      <c r="E39" s="18"/>
      <c r="F39" s="18">
        <f t="shared" si="0"/>
        <v>0</v>
      </c>
      <c r="G39" s="18">
        <f t="shared" si="1"/>
        <v>0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C39" s="7"/>
    </row>
    <row r="40" spans="2:29">
      <c r="B40" s="17"/>
      <c r="C40" s="14"/>
      <c r="D40" s="23"/>
      <c r="E40" s="18"/>
      <c r="F40" s="18">
        <v>0</v>
      </c>
      <c r="G40" s="18">
        <f t="shared" si="1"/>
        <v>0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>
        <f t="shared" ref="AA40:AA48" si="4">SUM(I40:Z40)</f>
        <v>0</v>
      </c>
      <c r="AC40" s="7">
        <f t="shared" ref="AC40:AC48" si="5">G40-AA40</f>
        <v>0</v>
      </c>
    </row>
    <row r="41" spans="2:29">
      <c r="B41" s="17"/>
      <c r="C41" s="14"/>
      <c r="D41" s="23"/>
      <c r="E41" s="18"/>
      <c r="F41" s="18">
        <v>0</v>
      </c>
      <c r="G41" s="18">
        <f t="shared" si="1"/>
        <v>0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>
        <f t="shared" si="4"/>
        <v>0</v>
      </c>
      <c r="AC41" s="7">
        <f t="shared" si="5"/>
        <v>0</v>
      </c>
    </row>
    <row r="42" spans="2:29">
      <c r="B42" s="17"/>
      <c r="C42" s="14"/>
      <c r="D42" s="23"/>
      <c r="E42" s="18"/>
      <c r="F42" s="18">
        <v>0</v>
      </c>
      <c r="G42" s="18">
        <f t="shared" si="1"/>
        <v>0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f t="shared" si="4"/>
        <v>0</v>
      </c>
      <c r="AC42" s="7">
        <f t="shared" si="5"/>
        <v>0</v>
      </c>
    </row>
    <row r="43" spans="2:29">
      <c r="B43" s="17"/>
      <c r="C43" s="14"/>
      <c r="D43" s="23"/>
      <c r="E43" s="18"/>
      <c r="F43" s="18">
        <v>0</v>
      </c>
      <c r="G43" s="18">
        <f t="shared" si="1"/>
        <v>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>
        <f t="shared" si="4"/>
        <v>0</v>
      </c>
      <c r="AC43" s="7">
        <f t="shared" si="5"/>
        <v>0</v>
      </c>
    </row>
    <row r="44" spans="2:29">
      <c r="B44" s="17"/>
      <c r="C44" s="14"/>
      <c r="D44" s="23"/>
      <c r="E44" s="18"/>
      <c r="F44" s="18">
        <v>0</v>
      </c>
      <c r="G44" s="18">
        <f t="shared" si="1"/>
        <v>0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>
        <f t="shared" si="4"/>
        <v>0</v>
      </c>
      <c r="AC44" s="7">
        <f t="shared" si="5"/>
        <v>0</v>
      </c>
    </row>
    <row r="45" spans="2:29">
      <c r="B45" s="17"/>
      <c r="C45" s="14"/>
      <c r="D45" s="23"/>
      <c r="E45" s="26"/>
      <c r="F45" s="18"/>
      <c r="G45" s="18">
        <f t="shared" si="1"/>
        <v>0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f t="shared" si="4"/>
        <v>0</v>
      </c>
      <c r="AC45" s="7">
        <f t="shared" si="5"/>
        <v>0</v>
      </c>
    </row>
    <row r="46" spans="2:29">
      <c r="B46" s="17"/>
      <c r="C46" s="14"/>
      <c r="D46" s="23"/>
      <c r="E46" s="26"/>
      <c r="F46" s="18"/>
      <c r="G46" s="18">
        <f t="shared" si="1"/>
        <v>0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f t="shared" si="4"/>
        <v>0</v>
      </c>
      <c r="AC46" s="7">
        <f t="shared" si="5"/>
        <v>0</v>
      </c>
    </row>
    <row r="47" spans="2:29">
      <c r="B47" s="17"/>
      <c r="C47" s="14"/>
      <c r="D47" s="23"/>
      <c r="E47" s="26"/>
      <c r="F47" s="18"/>
      <c r="G47" s="18">
        <f t="shared" si="1"/>
        <v>0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 t="shared" si="4"/>
        <v>0</v>
      </c>
      <c r="AC47" s="7">
        <f t="shared" si="5"/>
        <v>0</v>
      </c>
    </row>
    <row r="48" spans="2:29">
      <c r="B48" s="17"/>
      <c r="C48" s="14"/>
      <c r="D48" s="23"/>
      <c r="E48" s="26"/>
      <c r="F48" s="18"/>
      <c r="G48" s="18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f t="shared" si="4"/>
        <v>0</v>
      </c>
      <c r="AC48" s="7">
        <f t="shared" si="5"/>
        <v>0</v>
      </c>
    </row>
    <row r="49" spans="2:29">
      <c r="B49" s="17"/>
      <c r="C49" s="14"/>
      <c r="D49" s="14"/>
      <c r="E49" s="18"/>
      <c r="F49" s="18"/>
      <c r="G49" s="1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C49" s="7"/>
    </row>
    <row r="50" spans="2:29" ht="12" thickBot="1">
      <c r="E50" s="8">
        <f>SUM(E8:E48)</f>
        <v>0</v>
      </c>
      <c r="F50" s="8">
        <f t="shared" ref="F50:AC50" si="6">SUM(F8:F48)</f>
        <v>0</v>
      </c>
      <c r="G50" s="8">
        <f t="shared" si="6"/>
        <v>0</v>
      </c>
      <c r="H50" s="8">
        <f t="shared" si="6"/>
        <v>0</v>
      </c>
      <c r="I50" s="8">
        <f t="shared" si="6"/>
        <v>0</v>
      </c>
      <c r="J50" s="8">
        <f t="shared" si="6"/>
        <v>0</v>
      </c>
      <c r="K50" s="8">
        <f t="shared" si="6"/>
        <v>0</v>
      </c>
      <c r="L50" s="8">
        <f t="shared" si="6"/>
        <v>0</v>
      </c>
      <c r="M50" s="8">
        <f t="shared" si="6"/>
        <v>0</v>
      </c>
      <c r="N50" s="8">
        <f t="shared" si="6"/>
        <v>0</v>
      </c>
      <c r="O50" s="8">
        <f t="shared" si="6"/>
        <v>0</v>
      </c>
      <c r="P50" s="8">
        <f t="shared" si="6"/>
        <v>0</v>
      </c>
      <c r="Q50" s="8">
        <f t="shared" si="6"/>
        <v>0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</row>
    <row r="51" spans="2:29" ht="12" thickTop="1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2:29" ht="12.75" thickBot="1">
      <c r="G52" s="1" t="s">
        <v>63</v>
      </c>
      <c r="H52" s="8">
        <f>(I50/2)-H50</f>
        <v>0</v>
      </c>
      <c r="I52" s="5">
        <f>I50/2</f>
        <v>0</v>
      </c>
      <c r="J52" s="5"/>
      <c r="K52" s="71" t="s">
        <v>170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9" ht="12" thickTop="1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9">
      <c r="G54" s="38"/>
      <c r="I54" s="5"/>
      <c r="J54" s="5"/>
      <c r="K54" s="5" t="s">
        <v>446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9">
      <c r="G55" s="7"/>
      <c r="I55" s="5"/>
      <c r="J55" s="5"/>
      <c r="K55" s="5" t="s">
        <v>447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9">
      <c r="G56" s="7"/>
      <c r="I56" s="20"/>
      <c r="J56" s="5"/>
      <c r="K56" s="5" t="s">
        <v>170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9">
      <c r="I57" s="20"/>
      <c r="J57" s="20"/>
      <c r="K57" s="5" t="s">
        <v>448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9">
      <c r="I58" s="2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9" ht="12" thickBot="1">
      <c r="I59" s="20"/>
      <c r="K59" s="5" t="s">
        <v>63</v>
      </c>
      <c r="L59" s="8"/>
    </row>
    <row r="60" spans="2:29" ht="12" thickTop="1">
      <c r="I60" s="20"/>
    </row>
    <row r="61" spans="2:29">
      <c r="I61" s="7"/>
    </row>
    <row r="62" spans="2:29">
      <c r="I62" s="7">
        <v>1115813.18</v>
      </c>
    </row>
    <row r="63" spans="2:29">
      <c r="I63" s="7"/>
    </row>
    <row r="65" spans="9:9">
      <c r="I65" s="7"/>
    </row>
  </sheetData>
  <mergeCells count="1">
    <mergeCell ref="I5:AA5"/>
  </mergeCells>
  <pageMargins left="0.7" right="0.7" top="0.75" bottom="0.75" header="0.3" footer="0.3"/>
  <pageSetup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A514-ADB5-443E-8A9F-7C011F8420B0}">
  <sheetPr>
    <pageSetUpPr fitToPage="1"/>
  </sheetPr>
  <dimension ref="B2:FH29"/>
  <sheetViews>
    <sheetView tabSelected="1" zoomScale="98" zoomScaleNormal="98" workbookViewId="0">
      <selection activeCell="AC15" sqref="AC15"/>
    </sheetView>
  </sheetViews>
  <sheetFormatPr defaultColWidth="8.85546875" defaultRowHeight="11.25" outlineLevelCol="1"/>
  <cols>
    <col min="1" max="1" width="8.85546875" style="1"/>
    <col min="2" max="2" width="28.7109375" style="1" bestFit="1" customWidth="1"/>
    <col min="3" max="3" width="12.5703125" style="1" bestFit="1" customWidth="1"/>
    <col min="4" max="4" width="8.85546875" style="1" hidden="1" customWidth="1"/>
    <col min="5" max="5" width="17.28515625" style="1" hidden="1" customWidth="1"/>
    <col min="6" max="6" width="11.140625" style="1" hidden="1" customWidth="1"/>
    <col min="7" max="8" width="44.28515625" style="1" hidden="1" customWidth="1"/>
    <col min="9" max="9" width="12.7109375" style="1" hidden="1" customWidth="1"/>
    <col min="10" max="10" width="16.42578125" style="1" hidden="1" customWidth="1"/>
    <col min="11" max="11" width="25.28515625" style="1" hidden="1" customWidth="1"/>
    <col min="12" max="14" width="24.42578125" style="1" hidden="1" customWidth="1"/>
    <col min="15" max="15" width="8.85546875" style="1" hidden="1" customWidth="1"/>
    <col min="16" max="16" width="16.28515625" style="30" hidden="1" customWidth="1"/>
    <col min="17" max="17" width="11.140625" style="30" hidden="1" customWidth="1"/>
    <col min="18" max="19" width="44.28515625" style="30" hidden="1" customWidth="1"/>
    <col min="20" max="20" width="10" style="30" hidden="1" customWidth="1"/>
    <col min="21" max="21" width="16.42578125" style="30" hidden="1" customWidth="1"/>
    <col min="22" max="22" width="19.28515625" style="30" hidden="1" customWidth="1"/>
    <col min="23" max="23" width="18.7109375" style="30" hidden="1" customWidth="1"/>
    <col min="24" max="24" width="8.85546875" style="30" hidden="1" customWidth="1"/>
    <col min="25" max="25" width="11.140625" style="30" customWidth="1"/>
    <col min="26" max="26" width="10" style="30" customWidth="1"/>
    <col min="27" max="28" width="44.28515625" style="30" hidden="1" customWidth="1"/>
    <col min="29" max="29" width="10" style="30" customWidth="1"/>
    <col min="30" max="30" width="16.42578125" style="30" customWidth="1"/>
    <col min="31" max="31" width="19.28515625" style="30" hidden="1" customWidth="1"/>
    <col min="32" max="32" width="18.7109375" style="30" hidden="1" customWidth="1"/>
    <col min="33" max="33" width="8.85546875" style="30" customWidth="1" outlineLevel="1"/>
    <col min="34" max="34" width="10.7109375" style="30" customWidth="1" outlineLevel="1"/>
    <col min="35" max="35" width="10" style="30" customWidth="1" outlineLevel="1"/>
    <col min="36" max="36" width="45.28515625" style="30" customWidth="1" outlineLevel="1"/>
    <col min="37" max="37" width="32.28515625" style="30" customWidth="1" outlineLevel="1"/>
    <col min="38" max="38" width="10" style="30" customWidth="1" outlineLevel="1"/>
    <col min="39" max="39" width="16.42578125" style="30" customWidth="1" outlineLevel="1"/>
    <col min="40" max="40" width="19.28515625" style="30" customWidth="1" outlineLevel="1"/>
    <col min="41" max="41" width="18.7109375" style="30" customWidth="1" outlineLevel="1"/>
    <col min="42" max="42" width="8.85546875" style="30" customWidth="1" outlineLevel="1"/>
    <col min="43" max="43" width="10.7109375" style="30" customWidth="1" outlineLevel="1"/>
    <col min="44" max="44" width="10" style="30" customWidth="1" outlineLevel="1"/>
    <col min="45" max="45" width="46.140625" style="30" customWidth="1" outlineLevel="1"/>
    <col min="46" max="46" width="33" style="30" customWidth="1" outlineLevel="1"/>
    <col min="47" max="47" width="10" style="30" customWidth="1" outlineLevel="1"/>
    <col min="48" max="48" width="16.42578125" style="30" customWidth="1" outlineLevel="1"/>
    <col min="49" max="49" width="19.28515625" style="30" customWidth="1" outlineLevel="1"/>
    <col min="50" max="50" width="18.7109375" style="30" customWidth="1" outlineLevel="1"/>
    <col min="51" max="51" width="8.85546875" style="30" customWidth="1" outlineLevel="1"/>
    <col min="52" max="52" width="10.7109375" style="30" customWidth="1" outlineLevel="1"/>
    <col min="53" max="53" width="10" style="30" customWidth="1" outlineLevel="1"/>
    <col min="54" max="54" width="46.140625" style="30" customWidth="1" outlineLevel="1"/>
    <col min="55" max="55" width="33" style="30" customWidth="1" outlineLevel="1"/>
    <col min="56" max="56" width="10" style="30" customWidth="1" outlineLevel="1"/>
    <col min="57" max="57" width="16.42578125" style="30" customWidth="1" outlineLevel="1"/>
    <col min="58" max="58" width="19.28515625" style="30" customWidth="1" outlineLevel="1"/>
    <col min="59" max="59" width="18.7109375" style="30" customWidth="1" outlineLevel="1"/>
    <col min="60" max="60" width="8.85546875" style="30" customWidth="1" outlineLevel="1"/>
    <col min="61" max="61" width="10.7109375" style="30" customWidth="1" outlineLevel="1"/>
    <col min="62" max="62" width="10" style="30" customWidth="1" outlineLevel="1"/>
    <col min="63" max="63" width="46.140625" style="30" customWidth="1" outlineLevel="1"/>
    <col min="64" max="64" width="33" style="30" customWidth="1" outlineLevel="1"/>
    <col min="65" max="65" width="10" style="30" customWidth="1" outlineLevel="1"/>
    <col min="66" max="66" width="16.42578125" style="30" customWidth="1" outlineLevel="1"/>
    <col min="67" max="67" width="19.28515625" style="30" customWidth="1" outlineLevel="1"/>
    <col min="68" max="68" width="18.7109375" style="30" customWidth="1" outlineLevel="1"/>
    <col min="69" max="69" width="8.85546875" style="30" customWidth="1" outlineLevel="1"/>
    <col min="70" max="70" width="10.5703125" style="30" customWidth="1" outlineLevel="1"/>
    <col min="71" max="71" width="10" style="30" customWidth="1" outlineLevel="1"/>
    <col min="72" max="72" width="46.140625" style="30" customWidth="1" outlineLevel="1"/>
    <col min="73" max="73" width="33" style="30" customWidth="1" outlineLevel="1"/>
    <col min="74" max="74" width="10" style="30" customWidth="1" outlineLevel="1"/>
    <col min="75" max="75" width="16.42578125" style="30" customWidth="1" outlineLevel="1"/>
    <col min="76" max="76" width="19.28515625" style="30" customWidth="1" outlineLevel="1"/>
    <col min="77" max="77" width="18.7109375" style="30" customWidth="1" outlineLevel="1"/>
    <col min="78" max="78" width="8.85546875" style="30" customWidth="1" outlineLevel="1"/>
    <col min="79" max="80" width="10.5703125" style="30" customWidth="1" outlineLevel="1"/>
    <col min="81" max="81" width="46.140625" style="30" customWidth="1" outlineLevel="1"/>
    <col min="82" max="82" width="33" style="30" customWidth="1" outlineLevel="1"/>
    <col min="83" max="83" width="10" style="30" customWidth="1" outlineLevel="1"/>
    <col min="84" max="84" width="16.42578125" style="30" customWidth="1" outlineLevel="1"/>
    <col min="85" max="85" width="19.28515625" style="30" customWidth="1" outlineLevel="1"/>
    <col min="86" max="86" width="18.7109375" style="30" customWidth="1" outlineLevel="1"/>
    <col min="87" max="87" width="8.85546875" style="30" customWidth="1" outlineLevel="1"/>
    <col min="88" max="88" width="10.28515625" style="30" customWidth="1" outlineLevel="1"/>
    <col min="89" max="89" width="10" style="30" customWidth="1" outlineLevel="1"/>
    <col min="90" max="90" width="46.140625" style="30" customWidth="1" outlineLevel="1"/>
    <col min="91" max="91" width="33" style="30" customWidth="1" outlineLevel="1"/>
    <col min="92" max="92" width="10" style="30" customWidth="1" outlineLevel="1"/>
    <col min="93" max="93" width="16.42578125" style="30" customWidth="1" outlineLevel="1"/>
    <col min="94" max="94" width="19.28515625" style="30" customWidth="1" outlineLevel="1"/>
    <col min="95" max="95" width="18.7109375" style="30" customWidth="1" outlineLevel="1"/>
    <col min="96" max="96" width="8.85546875" style="30" customWidth="1" outlineLevel="1"/>
    <col min="97" max="97" width="10.5703125" style="30" customWidth="1" outlineLevel="1"/>
    <col min="98" max="98" width="10" style="30" customWidth="1" outlineLevel="1"/>
    <col min="99" max="99" width="46.140625" style="30" customWidth="1" outlineLevel="1"/>
    <col min="100" max="100" width="33" style="30" customWidth="1" outlineLevel="1"/>
    <col min="101" max="101" width="10" style="30" customWidth="1" outlineLevel="1"/>
    <col min="102" max="102" width="16.42578125" style="30" customWidth="1" outlineLevel="1"/>
    <col min="103" max="103" width="20.42578125" style="30" customWidth="1" outlineLevel="1"/>
    <col min="104" max="104" width="19.5703125" style="30" customWidth="1" outlineLevel="1"/>
    <col min="105" max="105" width="8.85546875" style="30" customWidth="1" outlineLevel="1"/>
    <col min="106" max="106" width="6.5703125" style="30" customWidth="1" outlineLevel="1"/>
    <col min="107" max="107" width="5.7109375" style="30" customWidth="1" outlineLevel="1"/>
    <col min="108" max="108" width="10" style="30" customWidth="1" outlineLevel="1"/>
    <col min="109" max="109" width="16.42578125" style="30" hidden="1" customWidth="1" outlineLevel="1"/>
    <col min="110" max="110" width="20.42578125" style="30" hidden="1" customWidth="1" outlineLevel="1"/>
    <col min="111" max="111" width="19.5703125" style="30" hidden="1" customWidth="1" outlineLevel="1"/>
    <col min="112" max="112" width="8.85546875" style="30" customWidth="1" outlineLevel="1"/>
    <col min="113" max="114" width="10.7109375" style="30" bestFit="1" customWidth="1"/>
    <col min="115" max="115" width="8.85546875" style="30"/>
    <col min="116" max="116" width="29.7109375" style="30" bestFit="1" customWidth="1"/>
    <col min="117" max="117" width="27.7109375" style="30" bestFit="1" customWidth="1"/>
    <col min="118" max="118" width="10.85546875" style="30" bestFit="1" customWidth="1"/>
    <col min="119" max="119" width="29" style="30" bestFit="1" customWidth="1"/>
    <col min="120" max="120" width="26" style="30" bestFit="1" customWidth="1"/>
    <col min="121" max="121" width="8.85546875" style="30"/>
    <col min="122" max="122" width="17.140625" style="30" bestFit="1" customWidth="1"/>
    <col min="123" max="123" width="12.28515625" style="30" bestFit="1" customWidth="1"/>
    <col min="124" max="124" width="32.7109375" style="30" bestFit="1" customWidth="1"/>
    <col min="125" max="16384" width="8.85546875" style="1"/>
  </cols>
  <sheetData>
    <row r="2" spans="2:124" ht="15.75">
      <c r="B2" s="2" t="s">
        <v>64</v>
      </c>
    </row>
    <row r="3" spans="2:124" ht="15.75">
      <c r="B3" s="2"/>
    </row>
    <row r="4" spans="2:124" ht="12">
      <c r="E4" s="73" t="s">
        <v>65</v>
      </c>
      <c r="F4" s="73"/>
      <c r="G4" s="73"/>
      <c r="H4" s="73"/>
      <c r="I4" s="73"/>
      <c r="J4" s="73"/>
      <c r="K4" s="73"/>
      <c r="L4" s="73"/>
      <c r="M4" s="73"/>
      <c r="N4" s="73"/>
      <c r="P4" s="74" t="s">
        <v>66</v>
      </c>
      <c r="Q4" s="74"/>
      <c r="R4" s="74"/>
      <c r="S4" s="74"/>
      <c r="T4" s="74"/>
      <c r="U4" s="74"/>
      <c r="V4" s="74"/>
      <c r="W4" s="74"/>
      <c r="Y4" s="74" t="s">
        <v>67</v>
      </c>
      <c r="Z4" s="74"/>
      <c r="AA4" s="74"/>
      <c r="AB4" s="74"/>
      <c r="AC4" s="74"/>
      <c r="AD4" s="74"/>
      <c r="AE4" s="74"/>
      <c r="AF4" s="74"/>
      <c r="AH4" s="74" t="s">
        <v>68</v>
      </c>
      <c r="AI4" s="74"/>
      <c r="AJ4" s="74"/>
      <c r="AK4" s="74"/>
      <c r="AL4" s="74"/>
      <c r="AM4" s="74"/>
      <c r="AN4" s="74"/>
      <c r="AO4" s="74"/>
      <c r="AQ4" s="74" t="s">
        <v>69</v>
      </c>
      <c r="AR4" s="74"/>
      <c r="AS4" s="74"/>
      <c r="AT4" s="74"/>
      <c r="AU4" s="74"/>
      <c r="AV4" s="74"/>
      <c r="AW4" s="74"/>
      <c r="AX4" s="74"/>
      <c r="AZ4" s="74" t="s">
        <v>70</v>
      </c>
      <c r="BA4" s="74"/>
      <c r="BB4" s="74"/>
      <c r="BC4" s="74"/>
      <c r="BD4" s="74"/>
      <c r="BE4" s="74"/>
      <c r="BF4" s="74"/>
      <c r="BG4" s="74"/>
      <c r="BI4" s="74" t="s">
        <v>71</v>
      </c>
      <c r="BJ4" s="74"/>
      <c r="BK4" s="74"/>
      <c r="BL4" s="74"/>
      <c r="BM4" s="74"/>
      <c r="BN4" s="74"/>
      <c r="BO4" s="74"/>
      <c r="BP4" s="74"/>
      <c r="BR4" s="74" t="s">
        <v>72</v>
      </c>
      <c r="BS4" s="74"/>
      <c r="BT4" s="74"/>
      <c r="BU4" s="74"/>
      <c r="BV4" s="74"/>
      <c r="BW4" s="74"/>
      <c r="BX4" s="74"/>
      <c r="BY4" s="74"/>
      <c r="CA4" s="74" t="s">
        <v>73</v>
      </c>
      <c r="CB4" s="74"/>
      <c r="CC4" s="74"/>
      <c r="CD4" s="74"/>
      <c r="CE4" s="74"/>
      <c r="CF4" s="74"/>
      <c r="CG4" s="74"/>
      <c r="CH4" s="74"/>
      <c r="CJ4" s="74" t="s">
        <v>74</v>
      </c>
      <c r="CK4" s="74"/>
      <c r="CL4" s="74"/>
      <c r="CM4" s="74"/>
      <c r="CN4" s="74"/>
      <c r="CO4" s="74"/>
      <c r="CP4" s="74"/>
      <c r="CQ4" s="74"/>
      <c r="CS4" s="74" t="s">
        <v>75</v>
      </c>
      <c r="CT4" s="74"/>
      <c r="CU4" s="74"/>
      <c r="CV4" s="74"/>
      <c r="CW4" s="74"/>
      <c r="CX4" s="74"/>
      <c r="CY4" s="74"/>
      <c r="CZ4" s="74"/>
      <c r="DB4" s="74" t="s">
        <v>76</v>
      </c>
      <c r="DC4" s="74"/>
      <c r="DD4" s="74"/>
      <c r="DE4" s="74"/>
      <c r="DF4" s="74"/>
      <c r="DG4" s="74"/>
      <c r="DI4" s="75" t="s">
        <v>77</v>
      </c>
      <c r="DJ4" s="75"/>
      <c r="DL4" s="75" t="s">
        <v>78</v>
      </c>
      <c r="DM4" s="75"/>
      <c r="DN4" s="75"/>
      <c r="DO4" s="75"/>
      <c r="DP4" s="75"/>
      <c r="DR4" s="75" t="s">
        <v>79</v>
      </c>
      <c r="DS4" s="75"/>
      <c r="DT4" s="75"/>
    </row>
    <row r="5" spans="2:124" ht="12">
      <c r="B5" s="25" t="s">
        <v>80</v>
      </c>
      <c r="C5" s="25" t="s">
        <v>60</v>
      </c>
      <c r="E5" s="4" t="s">
        <v>60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P5" s="33" t="s">
        <v>60</v>
      </c>
      <c r="Q5" s="33" t="s">
        <v>81</v>
      </c>
      <c r="R5" s="33" t="s">
        <v>82</v>
      </c>
      <c r="S5" s="33" t="s">
        <v>83</v>
      </c>
      <c r="T5" s="33" t="s">
        <v>84</v>
      </c>
      <c r="U5" s="33" t="s">
        <v>85</v>
      </c>
      <c r="V5" s="66" t="s">
        <v>90</v>
      </c>
      <c r="W5" s="66" t="s">
        <v>91</v>
      </c>
      <c r="Y5" s="33" t="s">
        <v>60</v>
      </c>
      <c r="Z5" s="33" t="s">
        <v>81</v>
      </c>
      <c r="AA5" s="33" t="s">
        <v>82</v>
      </c>
      <c r="AB5" s="33" t="s">
        <v>83</v>
      </c>
      <c r="AC5" s="33" t="s">
        <v>84</v>
      </c>
      <c r="AD5" s="33" t="s">
        <v>85</v>
      </c>
      <c r="AE5" s="66" t="s">
        <v>90</v>
      </c>
      <c r="AF5" s="66" t="s">
        <v>91</v>
      </c>
      <c r="AH5" s="33" t="s">
        <v>60</v>
      </c>
      <c r="AI5" s="33" t="s">
        <v>81</v>
      </c>
      <c r="AJ5" s="33" t="s">
        <v>82</v>
      </c>
      <c r="AK5" s="33" t="s">
        <v>83</v>
      </c>
      <c r="AL5" s="33" t="s">
        <v>84</v>
      </c>
      <c r="AM5" s="33" t="s">
        <v>85</v>
      </c>
      <c r="AN5" s="66" t="s">
        <v>90</v>
      </c>
      <c r="AO5" s="66" t="s">
        <v>91</v>
      </c>
      <c r="AQ5" s="33" t="s">
        <v>60</v>
      </c>
      <c r="AR5" s="33" t="s">
        <v>81</v>
      </c>
      <c r="AS5" s="33" t="s">
        <v>82</v>
      </c>
      <c r="AT5" s="33" t="s">
        <v>83</v>
      </c>
      <c r="AU5" s="33" t="s">
        <v>84</v>
      </c>
      <c r="AV5" s="33" t="s">
        <v>85</v>
      </c>
      <c r="AW5" s="33" t="s">
        <v>90</v>
      </c>
      <c r="AX5" s="33" t="s">
        <v>91</v>
      </c>
      <c r="AZ5" s="33" t="s">
        <v>60</v>
      </c>
      <c r="BA5" s="33" t="s">
        <v>81</v>
      </c>
      <c r="BB5" s="33" t="s">
        <v>82</v>
      </c>
      <c r="BC5" s="33" t="s">
        <v>83</v>
      </c>
      <c r="BD5" s="33" t="s">
        <v>84</v>
      </c>
      <c r="BE5" s="33" t="s">
        <v>85</v>
      </c>
      <c r="BF5" s="33" t="s">
        <v>90</v>
      </c>
      <c r="BG5" s="33" t="s">
        <v>91</v>
      </c>
      <c r="BI5" s="33" t="s">
        <v>60</v>
      </c>
      <c r="BJ5" s="33" t="s">
        <v>81</v>
      </c>
      <c r="BK5" s="33" t="s">
        <v>82</v>
      </c>
      <c r="BL5" s="33" t="s">
        <v>83</v>
      </c>
      <c r="BM5" s="33" t="s">
        <v>84</v>
      </c>
      <c r="BN5" s="33" t="s">
        <v>85</v>
      </c>
      <c r="BO5" s="33" t="s">
        <v>90</v>
      </c>
      <c r="BP5" s="33" t="s">
        <v>91</v>
      </c>
      <c r="BR5" s="33" t="s">
        <v>60</v>
      </c>
      <c r="BS5" s="33" t="s">
        <v>81</v>
      </c>
      <c r="BT5" s="33" t="s">
        <v>82</v>
      </c>
      <c r="BU5" s="33" t="s">
        <v>83</v>
      </c>
      <c r="BV5" s="33" t="s">
        <v>84</v>
      </c>
      <c r="BW5" s="33" t="s">
        <v>85</v>
      </c>
      <c r="BX5" s="33" t="s">
        <v>90</v>
      </c>
      <c r="BY5" s="33" t="s">
        <v>91</v>
      </c>
      <c r="CA5" s="33" t="s">
        <v>60</v>
      </c>
      <c r="CB5" s="33" t="s">
        <v>81</v>
      </c>
      <c r="CC5" s="33" t="s">
        <v>82</v>
      </c>
      <c r="CD5" s="33" t="s">
        <v>83</v>
      </c>
      <c r="CE5" s="33" t="s">
        <v>84</v>
      </c>
      <c r="CF5" s="33" t="s">
        <v>85</v>
      </c>
      <c r="CG5" s="33" t="s">
        <v>90</v>
      </c>
      <c r="CH5" s="33" t="s">
        <v>91</v>
      </c>
      <c r="CJ5" s="33" t="s">
        <v>60</v>
      </c>
      <c r="CK5" s="33" t="s">
        <v>81</v>
      </c>
      <c r="CL5" s="33" t="s">
        <v>82</v>
      </c>
      <c r="CM5" s="33" t="s">
        <v>83</v>
      </c>
      <c r="CN5" s="33" t="s">
        <v>84</v>
      </c>
      <c r="CO5" s="33" t="s">
        <v>85</v>
      </c>
      <c r="CP5" s="33" t="s">
        <v>90</v>
      </c>
      <c r="CQ5" s="33" t="s">
        <v>91</v>
      </c>
      <c r="CS5" s="33" t="s">
        <v>60</v>
      </c>
      <c r="CT5" s="33" t="s">
        <v>81</v>
      </c>
      <c r="CU5" s="33" t="s">
        <v>82</v>
      </c>
      <c r="CV5" s="33" t="s">
        <v>83</v>
      </c>
      <c r="CW5" s="33" t="s">
        <v>84</v>
      </c>
      <c r="CX5" s="33" t="s">
        <v>85</v>
      </c>
      <c r="CY5" s="33" t="s">
        <v>90</v>
      </c>
      <c r="CZ5" s="33" t="s">
        <v>91</v>
      </c>
      <c r="DB5" s="33" t="s">
        <v>60</v>
      </c>
      <c r="DC5" s="33" t="s">
        <v>81</v>
      </c>
      <c r="DD5" s="33" t="s">
        <v>84</v>
      </c>
      <c r="DE5" s="33" t="s">
        <v>85</v>
      </c>
      <c r="DF5" s="33" t="s">
        <v>90</v>
      </c>
      <c r="DG5" s="33" t="s">
        <v>91</v>
      </c>
      <c r="DI5" s="33" t="s">
        <v>92</v>
      </c>
      <c r="DJ5" s="33" t="s">
        <v>84</v>
      </c>
      <c r="DL5" s="33" t="s">
        <v>93</v>
      </c>
      <c r="DM5" s="33" t="s">
        <v>94</v>
      </c>
      <c r="DN5" s="33" t="s">
        <v>95</v>
      </c>
      <c r="DO5" s="33" t="s">
        <v>96</v>
      </c>
      <c r="DP5" s="33" t="s">
        <v>97</v>
      </c>
      <c r="DR5" s="33" t="s">
        <v>98</v>
      </c>
      <c r="DS5" s="33" t="s">
        <v>99</v>
      </c>
      <c r="DT5" s="33" t="s">
        <v>100</v>
      </c>
    </row>
    <row r="6" spans="2:124">
      <c r="H6" s="30"/>
      <c r="J6" s="30"/>
    </row>
    <row r="7" spans="2:124">
      <c r="B7" s="1" t="s">
        <v>31</v>
      </c>
      <c r="C7" s="7">
        <f>+'Firm Budget YE 2026'!C14</f>
        <v>5004000</v>
      </c>
      <c r="E7" s="7">
        <f>C7*0.15</f>
        <v>750600</v>
      </c>
      <c r="F7" s="5">
        <f>+'YTD Figures Employees'!C7</f>
        <v>798581.98</v>
      </c>
      <c r="G7" s="5"/>
      <c r="H7" s="31"/>
      <c r="I7" s="5">
        <f>+'YTD Figures Employees'!D7</f>
        <v>575490.05000000005</v>
      </c>
      <c r="J7" s="30">
        <f>F7-E7</f>
        <v>47981.979999999981</v>
      </c>
      <c r="K7" s="22"/>
      <c r="L7" s="22"/>
      <c r="M7" s="22"/>
      <c r="N7" s="22"/>
      <c r="P7" s="30">
        <f>C7*0.075</f>
        <v>375300</v>
      </c>
      <c r="Q7" s="31">
        <f>+'YTD Figures Employees'!E7</f>
        <v>531897.28</v>
      </c>
      <c r="R7" s="5">
        <f>+Q7*(1-V7)</f>
        <v>531897.28</v>
      </c>
      <c r="S7" s="31">
        <f>Q7-R7</f>
        <v>0</v>
      </c>
      <c r="T7" s="31">
        <f>+'YTD Figures Employees'!F7</f>
        <v>337621.36</v>
      </c>
      <c r="U7" s="30">
        <f>Q7-P7</f>
        <v>156597.28000000003</v>
      </c>
      <c r="V7" s="34"/>
      <c r="W7" s="34"/>
      <c r="Y7" s="30">
        <f>C7*0.075</f>
        <v>375300</v>
      </c>
      <c r="Z7" s="31">
        <f>+'May''25 Billing'!J55</f>
        <v>393596.21</v>
      </c>
      <c r="AA7" s="5">
        <f>+Z7*(1-AE7)</f>
        <v>393596.21</v>
      </c>
      <c r="AB7" s="31">
        <f>Z7-AA7</f>
        <v>0</v>
      </c>
      <c r="AC7" s="30">
        <f>+'YTD Figures Employees'!H7</f>
        <v>644784.95000000007</v>
      </c>
      <c r="AD7" s="30">
        <f>+Z7-Y7</f>
        <v>18296.210000000021</v>
      </c>
      <c r="AE7" s="34"/>
      <c r="AF7" s="34"/>
      <c r="AH7" s="30">
        <f>C7*0.09</f>
        <v>450360</v>
      </c>
      <c r="AI7" s="30">
        <f>+'YTD Figures Employees'!I7</f>
        <v>0</v>
      </c>
      <c r="AJ7" s="5">
        <f>+AI7*(1-AN7)</f>
        <v>0</v>
      </c>
      <c r="AK7" s="31">
        <f>AI7-AJ7</f>
        <v>0</v>
      </c>
      <c r="AL7" s="30">
        <f>+'YTD Figures Employees'!J7</f>
        <v>0</v>
      </c>
      <c r="AM7" s="30">
        <f>+AI7-AH7</f>
        <v>-450360</v>
      </c>
      <c r="AN7" s="34"/>
      <c r="AO7" s="34" t="s">
        <v>101</v>
      </c>
      <c r="AQ7" s="30">
        <f>C7*0.09</f>
        <v>450360</v>
      </c>
      <c r="AR7" s="30">
        <f>+'YTD Figures Employees'!K7</f>
        <v>0</v>
      </c>
      <c r="AS7" s="5">
        <f>+AR7*(1-AW7)</f>
        <v>0</v>
      </c>
      <c r="AT7" s="31">
        <f>AR7-AS7</f>
        <v>0</v>
      </c>
      <c r="AU7" s="30">
        <f>+'YTD Figures Employees'!L7</f>
        <v>0</v>
      </c>
      <c r="AV7" s="30">
        <f>+AR7-AQ7</f>
        <v>-450360</v>
      </c>
      <c r="AW7" s="34"/>
      <c r="AX7" s="34"/>
      <c r="AZ7" s="30">
        <f>C7*0.09</f>
        <v>450360</v>
      </c>
      <c r="BA7" s="30">
        <f>+'YTD Figures Employees'!M7</f>
        <v>0</v>
      </c>
      <c r="BB7" s="5">
        <f>+BA7*(1-BF7)</f>
        <v>0</v>
      </c>
      <c r="BC7" s="31">
        <f>BA7-BB7</f>
        <v>0</v>
      </c>
      <c r="BD7" s="30">
        <f>+'YTD Figures Employees'!N7</f>
        <v>0</v>
      </c>
      <c r="BE7" s="30">
        <f>+BA7-AZ7</f>
        <v>-450360</v>
      </c>
      <c r="BF7" s="34"/>
      <c r="BG7" s="34"/>
      <c r="BI7" s="30">
        <f>C7*0.1</f>
        <v>500400</v>
      </c>
      <c r="BJ7" s="30">
        <f>+'YTD Figures Employees'!O7</f>
        <v>0</v>
      </c>
      <c r="BK7" s="5">
        <f>+BJ7*(1-BO7)</f>
        <v>0</v>
      </c>
      <c r="BL7" s="31">
        <f>BJ7-BK7</f>
        <v>0</v>
      </c>
      <c r="BM7" s="30">
        <f>+'YTD Figures Employees'!P7</f>
        <v>0</v>
      </c>
      <c r="BN7" s="30">
        <f>+BJ7-BI7</f>
        <v>-500400</v>
      </c>
      <c r="BO7" s="34"/>
      <c r="BP7" s="34"/>
      <c r="BR7" s="30">
        <f>C7*0.12</f>
        <v>600480</v>
      </c>
      <c r="BS7" s="30">
        <f>+'YTD Figures Employees'!Q7</f>
        <v>0</v>
      </c>
      <c r="BT7" s="5">
        <f t="shared" ref="BT7:BT14" si="0">+BS7*(1-BX7)</f>
        <v>0</v>
      </c>
      <c r="BU7" s="31">
        <f t="shared" ref="BU7:BU14" si="1">BS7-BT7</f>
        <v>0</v>
      </c>
      <c r="BV7" s="30">
        <f>+'YTD Figures Employees'!R7</f>
        <v>0</v>
      </c>
      <c r="BW7" s="30">
        <f t="shared" ref="BW7:BW17" si="2">+BS7-BR7</f>
        <v>-600480</v>
      </c>
      <c r="BX7" s="34"/>
      <c r="BY7" s="34"/>
      <c r="CA7" s="30">
        <f>C7*0.12</f>
        <v>600480</v>
      </c>
      <c r="CB7" s="30">
        <f>+'YTD Figures Employees'!S7</f>
        <v>0</v>
      </c>
      <c r="CC7" s="5">
        <f>+CB7*(1-CG7)</f>
        <v>0</v>
      </c>
      <c r="CD7" s="31">
        <f t="shared" ref="CD7:CD14" si="3">CB7-CC7</f>
        <v>0</v>
      </c>
      <c r="CE7" s="30">
        <f>+'YTD Figures Employees'!T7</f>
        <v>0</v>
      </c>
      <c r="CF7" s="30">
        <f>+CB7-CA7</f>
        <v>-600480</v>
      </c>
      <c r="CG7" s="34"/>
      <c r="CH7" s="34"/>
      <c r="CJ7" s="30">
        <f t="shared" ref="CJ7:CJ16" si="4">C7*0.05</f>
        <v>250200</v>
      </c>
      <c r="CK7" s="30">
        <f>+'YTD Figures Employees'!U7</f>
        <v>0</v>
      </c>
      <c r="CN7" s="30">
        <f>+'YTD Figures Employees'!V7</f>
        <v>0</v>
      </c>
      <c r="CO7" s="30">
        <f>+CK7-CJ7</f>
        <v>-250200</v>
      </c>
      <c r="CP7" s="34"/>
      <c r="CQ7" s="34"/>
      <c r="CS7" s="30">
        <f>C7*0.04</f>
        <v>200160</v>
      </c>
      <c r="CT7" s="30">
        <f>+'YTD Figures Employees'!W7</f>
        <v>0</v>
      </c>
      <c r="CU7" s="5">
        <f t="shared" ref="CU7" si="5">+CT7*(1-CY7)</f>
        <v>0</v>
      </c>
      <c r="CV7" s="31">
        <f t="shared" ref="CV7" si="6">CT7-CU7</f>
        <v>0</v>
      </c>
      <c r="CW7" s="31">
        <f>+'YTD Figures Employees'!X7</f>
        <v>0</v>
      </c>
      <c r="CX7" s="30">
        <f>+CT7-CS7</f>
        <v>-200160</v>
      </c>
      <c r="CY7" s="34"/>
      <c r="CZ7" s="34"/>
      <c r="DC7" s="30">
        <f>+'YTD Figures Employees'!Y7</f>
        <v>0</v>
      </c>
      <c r="DD7" s="30">
        <f>+'YTD Figures Employees'!Z7</f>
        <v>0</v>
      </c>
      <c r="DI7" s="31">
        <f>F7+Q7+Z7+AI7+AR7+BA7+BJ7+BS7+CB7+CK7+CT7+DC7</f>
        <v>1724075.47</v>
      </c>
      <c r="DJ7" s="31">
        <f>I7+T7+AC7+AL7+AU7+BD7+BM7+BV7+CE7+CN7+CW7+DD7</f>
        <v>1557896.36</v>
      </c>
      <c r="DL7" s="61">
        <f t="shared" ref="DL7:DL18" si="7">DJ7/DI7</f>
        <v>0.90361262433598699</v>
      </c>
      <c r="DM7" s="35">
        <f>DI7/C7</f>
        <v>0.34453946243005595</v>
      </c>
      <c r="DN7" s="30">
        <f>E7+P7+Y7+AH7+AQ7+AZ7+BI7+BR7+CA7+CJ7+CS7</f>
        <v>5004000</v>
      </c>
      <c r="DO7" s="35">
        <f t="shared" ref="DO7:DO17" si="8">DJ7/DN7</f>
        <v>0.31133020783373305</v>
      </c>
      <c r="DP7" s="35">
        <f t="shared" ref="DP7:DP17" si="9">DI7/DN7</f>
        <v>0.34453946243005595</v>
      </c>
      <c r="DR7" s="30">
        <f>+'Salaries &amp; Budgets'!K13</f>
        <v>5504400</v>
      </c>
      <c r="DS7" s="30">
        <f>DJ7</f>
        <v>1557896.36</v>
      </c>
      <c r="DT7" s="30">
        <f>DR7-DS7</f>
        <v>3946503.6399999997</v>
      </c>
    </row>
    <row r="8" spans="2:124">
      <c r="B8" s="1" t="s">
        <v>33</v>
      </c>
      <c r="C8" s="7">
        <f>+'Firm Budget YE 2026'!C15</f>
        <v>2160000</v>
      </c>
      <c r="E8" s="7">
        <f t="shared" ref="E8:E16" si="10">C8*0.15</f>
        <v>324000</v>
      </c>
      <c r="F8" s="5">
        <f>+'YTD Figures Employees'!C8</f>
        <v>658489.32999999996</v>
      </c>
      <c r="G8" s="5"/>
      <c r="H8" s="31"/>
      <c r="I8" s="5">
        <f>+'YTD Figures Employees'!D8</f>
        <v>259796.91</v>
      </c>
      <c r="J8" s="30">
        <f t="shared" ref="J8:J17" si="11">F8-E8</f>
        <v>334489.32999999996</v>
      </c>
      <c r="K8" s="22"/>
      <c r="L8" s="21"/>
      <c r="M8" s="22"/>
      <c r="N8" s="21"/>
      <c r="P8" s="30">
        <f t="shared" ref="P8:P17" si="12">C8*0.075</f>
        <v>162000</v>
      </c>
      <c r="Q8" s="31">
        <f>+'YTD Figures Employees'!E8</f>
        <v>217258</v>
      </c>
      <c r="R8" s="5">
        <f t="shared" ref="R8:R9" si="13">+Q8*(1-V8)</f>
        <v>217258</v>
      </c>
      <c r="S8" s="31">
        <f>Q8-R8</f>
        <v>0</v>
      </c>
      <c r="T8" s="31">
        <f>+'YTD Figures Employees'!F8</f>
        <v>446439.07</v>
      </c>
      <c r="U8" s="30">
        <f t="shared" ref="U8:U17" si="14">Q8-P8</f>
        <v>55258</v>
      </c>
      <c r="V8" s="34"/>
      <c r="W8" s="34"/>
      <c r="Y8" s="30">
        <f t="shared" ref="Y8:Y17" si="15">C8*0.075</f>
        <v>162000</v>
      </c>
      <c r="Z8" s="31">
        <f>+'May''25 Billing'!K55</f>
        <v>158665.93</v>
      </c>
      <c r="AA8" s="5">
        <f>+Z8*(1-AE8)</f>
        <v>158665.93</v>
      </c>
      <c r="AB8" s="31">
        <f>Z8-AA8</f>
        <v>0</v>
      </c>
      <c r="AC8" s="30">
        <f>+'YTD Figures Employees'!H8</f>
        <v>320208.66000000003</v>
      </c>
      <c r="AD8" s="30">
        <f t="shared" ref="AD8:AD17" si="16">+Z8-Y8</f>
        <v>-3334.070000000007</v>
      </c>
      <c r="AE8" s="34"/>
      <c r="AF8" s="34"/>
      <c r="AH8" s="30">
        <f t="shared" ref="AH8:AH16" si="17">C8*0.09</f>
        <v>194400</v>
      </c>
      <c r="AI8" s="30">
        <f>+'YTD Figures Employees'!I8</f>
        <v>0</v>
      </c>
      <c r="AJ8" s="5">
        <f t="shared" ref="AJ8:AJ9" si="18">+AI8*(1-AN8)</f>
        <v>0</v>
      </c>
      <c r="AK8" s="31">
        <f t="shared" ref="AK8:AK9" si="19">AI8-AJ8</f>
        <v>0</v>
      </c>
      <c r="AL8" s="30">
        <f>+'YTD Figures Employees'!J8</f>
        <v>0</v>
      </c>
      <c r="AM8" s="30">
        <f t="shared" ref="AM8:AM9" si="20">+AI8-AH8</f>
        <v>-194400</v>
      </c>
      <c r="AN8" s="34"/>
      <c r="AO8" s="34" t="s">
        <v>101</v>
      </c>
      <c r="AQ8" s="30">
        <f>C8*0.09</f>
        <v>194400</v>
      </c>
      <c r="AR8" s="30">
        <f>+'YTD Figures Employees'!K8</f>
        <v>0</v>
      </c>
      <c r="AS8" s="5">
        <f t="shared" ref="AS8:AS11" si="21">+AR8*(1-AW8)</f>
        <v>0</v>
      </c>
      <c r="AT8" s="31">
        <f t="shared" ref="AT8:AT11" si="22">AR8-AS8</f>
        <v>0</v>
      </c>
      <c r="AU8" s="30">
        <f>+'YTD Figures Employees'!L8</f>
        <v>0</v>
      </c>
      <c r="AV8" s="30">
        <f t="shared" ref="AV8:AV17" si="23">+AR8-AQ8</f>
        <v>-194400</v>
      </c>
      <c r="AW8" s="34"/>
      <c r="AX8" s="34"/>
      <c r="AZ8" s="30">
        <f t="shared" ref="AZ8:AZ17" si="24">C8*0.09</f>
        <v>194400</v>
      </c>
      <c r="BA8" s="30">
        <f>+'YTD Figures Employees'!M8</f>
        <v>0</v>
      </c>
      <c r="BB8" s="5">
        <f t="shared" ref="BB8:BB12" si="25">+BA8*(1-BF8)</f>
        <v>0</v>
      </c>
      <c r="BC8" s="31">
        <f t="shared" ref="BC8:BC12" si="26">BA8-BB8</f>
        <v>0</v>
      </c>
      <c r="BD8" s="30">
        <f>+'YTD Figures Employees'!N8</f>
        <v>0</v>
      </c>
      <c r="BE8" s="30">
        <f t="shared" ref="BE8:BE17" si="27">+BA8-AZ8</f>
        <v>-194400</v>
      </c>
      <c r="BF8" s="34"/>
      <c r="BG8" s="34"/>
      <c r="BI8" s="30">
        <f t="shared" ref="BI8:BI10" si="28">C8*0.1</f>
        <v>216000</v>
      </c>
      <c r="BJ8" s="30">
        <f>+'YTD Figures Employees'!O8</f>
        <v>0</v>
      </c>
      <c r="BK8" s="5">
        <f t="shared" ref="BK8:BK14" si="29">+BJ8*(1-BO8)</f>
        <v>0</v>
      </c>
      <c r="BL8" s="31">
        <f t="shared" ref="BL8:BL14" si="30">BJ8-BK8</f>
        <v>0</v>
      </c>
      <c r="BM8" s="30">
        <f>+'YTD Figures Employees'!P8</f>
        <v>0</v>
      </c>
      <c r="BN8" s="30">
        <f t="shared" ref="BN8:BN17" si="31">+BJ8-BI8</f>
        <v>-216000</v>
      </c>
      <c r="BO8" s="34"/>
      <c r="BP8" s="34"/>
      <c r="BR8" s="30">
        <f t="shared" ref="BR8:BR10" si="32">C8*0.12</f>
        <v>259200</v>
      </c>
      <c r="BS8" s="30">
        <f>+'YTD Figures Employees'!Q8</f>
        <v>0</v>
      </c>
      <c r="BT8" s="5">
        <f t="shared" si="0"/>
        <v>0</v>
      </c>
      <c r="BU8" s="31">
        <f t="shared" si="1"/>
        <v>0</v>
      </c>
      <c r="BV8" s="30">
        <f>+'YTD Figures Employees'!R8</f>
        <v>0</v>
      </c>
      <c r="BW8" s="30">
        <f t="shared" si="2"/>
        <v>-259200</v>
      </c>
      <c r="BX8" s="34"/>
      <c r="BY8" s="34"/>
      <c r="CA8" s="30">
        <f>C8*0.12</f>
        <v>259200</v>
      </c>
      <c r="CB8" s="30">
        <f>+'YTD Figures Employees'!S8</f>
        <v>0</v>
      </c>
      <c r="CC8" s="5">
        <f t="shared" ref="CC8:CC14" si="33">+CB8*(1-CG8)</f>
        <v>0</v>
      </c>
      <c r="CD8" s="31">
        <f t="shared" si="3"/>
        <v>0</v>
      </c>
      <c r="CE8" s="30">
        <f>+'YTD Figures Employees'!T8</f>
        <v>0</v>
      </c>
      <c r="CF8" s="30">
        <f>+CB8-CA8</f>
        <v>-259200</v>
      </c>
      <c r="CG8" s="34"/>
      <c r="CH8" s="34"/>
      <c r="CJ8" s="30">
        <f t="shared" si="4"/>
        <v>108000</v>
      </c>
      <c r="CK8" s="30">
        <f>+'YTD Figures Employees'!U8</f>
        <v>0</v>
      </c>
      <c r="CL8" s="5">
        <f t="shared" ref="CL8" si="34">+CK8*(1-CP8)</f>
        <v>0</v>
      </c>
      <c r="CM8" s="31">
        <f t="shared" ref="CM8" si="35">CK8-CL8</f>
        <v>0</v>
      </c>
      <c r="CN8" s="30">
        <f>+'YTD Figures Employees'!V8</f>
        <v>0</v>
      </c>
      <c r="CO8" s="30">
        <f t="shared" ref="CO8:CO17" si="36">+CK8-CJ8</f>
        <v>-108000</v>
      </c>
      <c r="CP8" s="34"/>
      <c r="CQ8" s="34"/>
      <c r="CS8" s="30">
        <f t="shared" ref="CS8:CS16" si="37">C8*0.04</f>
        <v>86400</v>
      </c>
      <c r="CT8" s="30">
        <f>+'YTD Figures Employees'!W8</f>
        <v>0</v>
      </c>
      <c r="CU8" s="5">
        <f t="shared" ref="CU8:CU14" si="38">+CT8*(1-CY8)</f>
        <v>0</v>
      </c>
      <c r="CV8" s="31">
        <f t="shared" ref="CV8:CV14" si="39">CT8-CU8</f>
        <v>0</v>
      </c>
      <c r="CW8" s="31">
        <f>+'YTD Figures Employees'!X8</f>
        <v>0</v>
      </c>
      <c r="CX8" s="30">
        <f t="shared" ref="CX8:CX17" si="40">+CT8-CS8</f>
        <v>-86400</v>
      </c>
      <c r="CY8" s="34"/>
      <c r="CZ8" s="34"/>
      <c r="DC8" s="30">
        <f>+'YTD Figures Employees'!Y8</f>
        <v>0</v>
      </c>
      <c r="DD8" s="30">
        <f>+'YTD Figures Employees'!Z8</f>
        <v>0</v>
      </c>
      <c r="DI8" s="31">
        <f t="shared" ref="DI8:DI17" si="41">F8+Q8+Z8+AI8+AR8+BA8+BJ8+BS8+CB8+CK8+CT8+DC8</f>
        <v>1034413.26</v>
      </c>
      <c r="DJ8" s="31">
        <f t="shared" ref="DJ8:DJ17" si="42">I8+T8+AC8+AL8+AU8+BD8+BM8+BV8+CE8+CN8+CW8+DD8</f>
        <v>1026444.64</v>
      </c>
      <c r="DL8" s="61">
        <f t="shared" si="7"/>
        <v>0.99229648312899621</v>
      </c>
      <c r="DM8" s="35">
        <f>DI8/C8</f>
        <v>0.47889502777777776</v>
      </c>
      <c r="DN8" s="30">
        <f t="shared" ref="DN8:DN17" si="43">E8+P8+Y8+AH8+AQ8+AZ8+BI8+BR8+CA8+CJ8+CS8</f>
        <v>2160000</v>
      </c>
      <c r="DO8" s="35">
        <f t="shared" si="8"/>
        <v>0.47520585185185188</v>
      </c>
      <c r="DP8" s="35">
        <f t="shared" si="9"/>
        <v>0.47889502777777776</v>
      </c>
      <c r="DR8" s="30">
        <f>+'Salaries &amp; Budgets'!K14</f>
        <v>2376000</v>
      </c>
      <c r="DS8" s="30">
        <f t="shared" ref="DS8:DS17" si="44">DJ8</f>
        <v>1026444.64</v>
      </c>
      <c r="DT8" s="30">
        <f t="shared" ref="DT8:DT17" si="45">DR8-DS8</f>
        <v>1349555.3599999999</v>
      </c>
    </row>
    <row r="9" spans="2:124">
      <c r="B9" s="1" t="s">
        <v>35</v>
      </c>
      <c r="C9" s="7">
        <f>+'Firm Budget YE 2026'!C16</f>
        <v>2700000</v>
      </c>
      <c r="E9" s="7">
        <f t="shared" si="10"/>
        <v>405000</v>
      </c>
      <c r="F9" s="5">
        <f>+'YTD Figures Employees'!C9</f>
        <v>673482.60000000009</v>
      </c>
      <c r="G9" s="5"/>
      <c r="H9" s="31"/>
      <c r="I9" s="5">
        <f>+'YTD Figures Employees'!D9</f>
        <v>394174.76</v>
      </c>
      <c r="J9" s="30">
        <f t="shared" si="11"/>
        <v>268482.60000000009</v>
      </c>
      <c r="K9" s="22"/>
      <c r="L9" s="22"/>
      <c r="M9" s="22"/>
      <c r="N9" s="21"/>
      <c r="P9" s="30">
        <f t="shared" si="12"/>
        <v>202500</v>
      </c>
      <c r="Q9" s="31">
        <f>+'YTD Figures Employees'!E9</f>
        <v>327798.40999999997</v>
      </c>
      <c r="R9" s="5">
        <f t="shared" si="13"/>
        <v>327798.40999999997</v>
      </c>
      <c r="S9" s="37">
        <f>Q9-R9</f>
        <v>0</v>
      </c>
      <c r="T9" s="31">
        <f>+'YTD Figures Employees'!F9</f>
        <v>68060.14</v>
      </c>
      <c r="U9" s="30">
        <f t="shared" si="14"/>
        <v>125298.40999999997</v>
      </c>
      <c r="V9" s="34"/>
      <c r="W9" s="34"/>
      <c r="Y9" s="30">
        <f t="shared" si="15"/>
        <v>202500</v>
      </c>
      <c r="Z9" s="31">
        <f>+'May''25 Billing'!L55</f>
        <v>151566.85</v>
      </c>
      <c r="AA9" s="5"/>
      <c r="AB9" s="37">
        <f t="shared" ref="AB9" si="46">Z9-AA9</f>
        <v>151566.85</v>
      </c>
      <c r="AC9" s="30">
        <f>+'YTD Figures Employees'!H9</f>
        <v>189004.2</v>
      </c>
      <c r="AD9" s="30">
        <f t="shared" si="16"/>
        <v>-50933.149999999994</v>
      </c>
      <c r="AE9" s="34"/>
      <c r="AF9" s="34"/>
      <c r="AH9" s="30">
        <f t="shared" si="17"/>
        <v>243000</v>
      </c>
      <c r="AI9" s="30">
        <f>+'YTD Figures Employees'!I9</f>
        <v>0</v>
      </c>
      <c r="AJ9" s="5">
        <f t="shared" si="18"/>
        <v>0</v>
      </c>
      <c r="AK9" s="31">
        <f t="shared" si="19"/>
        <v>0</v>
      </c>
      <c r="AL9" s="30">
        <f>+'YTD Figures Employees'!J9</f>
        <v>0</v>
      </c>
      <c r="AM9" s="30">
        <f t="shared" si="20"/>
        <v>-243000</v>
      </c>
      <c r="AN9" s="34"/>
      <c r="AO9" s="34" t="s">
        <v>101</v>
      </c>
      <c r="AQ9" s="30">
        <f>C9*0.09</f>
        <v>243000</v>
      </c>
      <c r="AR9" s="30">
        <f>+'YTD Figures Employees'!K9</f>
        <v>0</v>
      </c>
      <c r="AS9" s="5">
        <f t="shared" si="21"/>
        <v>0</v>
      </c>
      <c r="AT9" s="31">
        <f t="shared" si="22"/>
        <v>0</v>
      </c>
      <c r="AU9" s="30">
        <f>+'YTD Figures Employees'!L9</f>
        <v>0</v>
      </c>
      <c r="AV9" s="30">
        <f t="shared" si="23"/>
        <v>-243000</v>
      </c>
      <c r="AW9" s="34"/>
      <c r="AX9" s="34"/>
      <c r="AZ9" s="30">
        <f t="shared" si="24"/>
        <v>243000</v>
      </c>
      <c r="BA9" s="30">
        <f>+'YTD Figures Employees'!M9</f>
        <v>0</v>
      </c>
      <c r="BB9" s="5">
        <f t="shared" si="25"/>
        <v>0</v>
      </c>
      <c r="BC9" s="31">
        <f t="shared" si="26"/>
        <v>0</v>
      </c>
      <c r="BD9" s="30">
        <f>+'YTD Figures Employees'!N9</f>
        <v>0</v>
      </c>
      <c r="BE9" s="30">
        <f t="shared" si="27"/>
        <v>-243000</v>
      </c>
      <c r="BF9" s="34"/>
      <c r="BG9" s="34"/>
      <c r="BI9" s="30">
        <f t="shared" si="28"/>
        <v>270000</v>
      </c>
      <c r="BJ9" s="30">
        <f>+'YTD Figures Employees'!O9</f>
        <v>0</v>
      </c>
      <c r="BK9" s="5">
        <f t="shared" si="29"/>
        <v>0</v>
      </c>
      <c r="BL9" s="31">
        <f t="shared" si="30"/>
        <v>0</v>
      </c>
      <c r="BM9" s="30">
        <f>+'YTD Figures Employees'!P9</f>
        <v>0</v>
      </c>
      <c r="BN9" s="30">
        <f t="shared" si="31"/>
        <v>-270000</v>
      </c>
      <c r="BO9" s="34"/>
      <c r="BP9" s="34"/>
      <c r="BR9" s="30">
        <f t="shared" si="32"/>
        <v>324000</v>
      </c>
      <c r="BS9" s="30">
        <f>+'YTD Figures Employees'!Q9</f>
        <v>0</v>
      </c>
      <c r="BT9" s="5">
        <f t="shared" si="0"/>
        <v>0</v>
      </c>
      <c r="BU9" s="31">
        <f t="shared" si="1"/>
        <v>0</v>
      </c>
      <c r="BV9" s="30">
        <f>+'YTD Figures Employees'!R9</f>
        <v>0</v>
      </c>
      <c r="BW9" s="30">
        <f t="shared" si="2"/>
        <v>-324000</v>
      </c>
      <c r="BX9" s="34"/>
      <c r="BY9" s="34"/>
      <c r="CA9" s="30">
        <f t="shared" ref="CA9:CA20" si="47">C9*0.12</f>
        <v>324000</v>
      </c>
      <c r="CB9" s="30">
        <f>+'YTD Figures Employees'!S9</f>
        <v>0</v>
      </c>
      <c r="CC9" s="5">
        <f t="shared" si="33"/>
        <v>0</v>
      </c>
      <c r="CD9" s="31">
        <f t="shared" si="3"/>
        <v>0</v>
      </c>
      <c r="CE9" s="30">
        <f>+'YTD Figures Employees'!T9</f>
        <v>0</v>
      </c>
      <c r="CF9" s="30">
        <f t="shared" ref="CF9:CF17" si="48">+CB9-CA9</f>
        <v>-324000</v>
      </c>
      <c r="CG9" s="34"/>
      <c r="CH9" s="34"/>
      <c r="CJ9" s="30">
        <f t="shared" si="4"/>
        <v>135000</v>
      </c>
      <c r="CK9" s="30">
        <f>+'YTD Figures Employees'!U9</f>
        <v>0</v>
      </c>
      <c r="CL9" s="5">
        <f t="shared" ref="CL9:CL14" si="49">+CK9*(1-CP9)</f>
        <v>0</v>
      </c>
      <c r="CM9" s="31">
        <f t="shared" ref="CM9:CM14" si="50">CK9-CL9</f>
        <v>0</v>
      </c>
      <c r="CN9" s="30">
        <f>+'YTD Figures Employees'!V9</f>
        <v>0</v>
      </c>
      <c r="CO9" s="30">
        <f t="shared" si="36"/>
        <v>-135000</v>
      </c>
      <c r="CP9" s="34"/>
      <c r="CQ9" s="34"/>
      <c r="CS9" s="30">
        <f t="shared" si="37"/>
        <v>108000</v>
      </c>
      <c r="CT9" s="30">
        <f>+'YTD Figures Employees'!W9</f>
        <v>0</v>
      </c>
      <c r="CU9" s="5">
        <f t="shared" si="38"/>
        <v>0</v>
      </c>
      <c r="CV9" s="31">
        <f t="shared" si="39"/>
        <v>0</v>
      </c>
      <c r="CW9" s="31">
        <f>+'YTD Figures Employees'!X9</f>
        <v>0</v>
      </c>
      <c r="CX9" s="30">
        <f t="shared" si="40"/>
        <v>-108000</v>
      </c>
      <c r="CY9" s="34"/>
      <c r="CZ9" s="34"/>
      <c r="DC9" s="30">
        <f>+'YTD Figures Employees'!Y9</f>
        <v>0</v>
      </c>
      <c r="DD9" s="30">
        <f>+'YTD Figures Employees'!Z9</f>
        <v>0</v>
      </c>
      <c r="DI9" s="31">
        <f t="shared" si="41"/>
        <v>1152847.8600000001</v>
      </c>
      <c r="DJ9" s="31">
        <f t="shared" si="42"/>
        <v>651239.10000000009</v>
      </c>
      <c r="DL9" s="61">
        <f t="shared" si="7"/>
        <v>0.56489596120688468</v>
      </c>
      <c r="DM9" s="35">
        <f t="shared" ref="DM9:DM17" si="51">DI9/C9</f>
        <v>0.4269806888888889</v>
      </c>
      <c r="DN9" s="30">
        <f t="shared" si="43"/>
        <v>2700000</v>
      </c>
      <c r="DO9" s="35">
        <f t="shared" si="8"/>
        <v>0.2411996666666667</v>
      </c>
      <c r="DP9" s="35">
        <f t="shared" si="9"/>
        <v>0.4269806888888889</v>
      </c>
      <c r="DR9" s="30">
        <f>+'Salaries &amp; Budgets'!K15</f>
        <v>2970000</v>
      </c>
      <c r="DS9" s="30">
        <f t="shared" si="44"/>
        <v>651239.10000000009</v>
      </c>
      <c r="DT9" s="30">
        <f t="shared" si="45"/>
        <v>2318760.9</v>
      </c>
    </row>
    <row r="10" spans="2:124">
      <c r="B10" s="1" t="s">
        <v>37</v>
      </c>
      <c r="C10" s="7">
        <f>+'Firm Budget YE 2026'!C17</f>
        <v>3690000</v>
      </c>
      <c r="E10" s="7">
        <f t="shared" si="10"/>
        <v>553500</v>
      </c>
      <c r="F10" s="5">
        <f>+'YTD Figures Employees'!C10</f>
        <v>603886.91</v>
      </c>
      <c r="G10" s="5"/>
      <c r="H10" s="31"/>
      <c r="I10" s="5">
        <f>+'YTD Figures Employees'!D10</f>
        <v>372435</v>
      </c>
      <c r="J10" s="30">
        <f t="shared" si="11"/>
        <v>50386.910000000033</v>
      </c>
      <c r="K10" s="21"/>
      <c r="L10" s="21"/>
      <c r="M10" s="21"/>
      <c r="N10" s="21"/>
      <c r="P10" s="30">
        <f t="shared" si="12"/>
        <v>276750</v>
      </c>
      <c r="Q10" s="31">
        <f>+'YTD Figures Employees'!E10</f>
        <v>252361.33000000002</v>
      </c>
      <c r="R10" s="31"/>
      <c r="S10" s="31"/>
      <c r="T10" s="31">
        <f>+'YTD Figures Employees'!F10</f>
        <v>385970</v>
      </c>
      <c r="U10" s="30">
        <f t="shared" si="14"/>
        <v>-24388.669999999984</v>
      </c>
      <c r="V10" s="34"/>
      <c r="W10" s="34"/>
      <c r="Y10" s="30">
        <f t="shared" si="15"/>
        <v>276750</v>
      </c>
      <c r="Z10" s="31">
        <f>+'May''25 Billing'!M55</f>
        <v>138434.74</v>
      </c>
      <c r="AA10" s="31"/>
      <c r="AB10" s="31"/>
      <c r="AC10" s="30">
        <f>+'YTD Figures Employees'!H10</f>
        <v>266751.91000000003</v>
      </c>
      <c r="AD10" s="30">
        <f t="shared" si="16"/>
        <v>-138315.26</v>
      </c>
      <c r="AE10" s="34"/>
      <c r="AF10" s="34"/>
      <c r="AH10" s="30">
        <f t="shared" si="17"/>
        <v>332100</v>
      </c>
      <c r="AI10" s="30">
        <f>+'YTD Figures Employees'!I10</f>
        <v>0</v>
      </c>
      <c r="AL10" s="30">
        <f>+'YTD Figures Employees'!J10</f>
        <v>0</v>
      </c>
      <c r="AM10" s="30">
        <f>+AI10-AH10</f>
        <v>-332100</v>
      </c>
      <c r="AN10" s="34"/>
      <c r="AO10" s="34"/>
      <c r="AQ10" s="30">
        <f>C10*0.09</f>
        <v>332100</v>
      </c>
      <c r="AR10" s="30">
        <f>+'YTD Figures Employees'!K10</f>
        <v>0</v>
      </c>
      <c r="AS10" s="5">
        <f t="shared" si="21"/>
        <v>0</v>
      </c>
      <c r="AT10" s="31">
        <f t="shared" si="22"/>
        <v>0</v>
      </c>
      <c r="AU10" s="30">
        <f>+'YTD Figures Employees'!L10</f>
        <v>0</v>
      </c>
      <c r="AV10" s="30">
        <f t="shared" si="23"/>
        <v>-332100</v>
      </c>
      <c r="AW10" s="34"/>
      <c r="AX10" s="34"/>
      <c r="AZ10" s="30">
        <f t="shared" si="24"/>
        <v>332100</v>
      </c>
      <c r="BA10" s="30">
        <f>+'YTD Figures Employees'!M10</f>
        <v>0</v>
      </c>
      <c r="BB10" s="5">
        <f t="shared" si="25"/>
        <v>0</v>
      </c>
      <c r="BC10" s="31">
        <f t="shared" si="26"/>
        <v>0</v>
      </c>
      <c r="BD10" s="30">
        <f>+'YTD Figures Employees'!N10</f>
        <v>0</v>
      </c>
      <c r="BE10" s="30">
        <f t="shared" si="27"/>
        <v>-332100</v>
      </c>
      <c r="BF10" s="34"/>
      <c r="BG10" s="34"/>
      <c r="BI10" s="30">
        <f t="shared" si="28"/>
        <v>369000</v>
      </c>
      <c r="BJ10" s="30">
        <f>+'YTD Figures Employees'!O10</f>
        <v>0</v>
      </c>
      <c r="BK10" s="5">
        <f t="shared" si="29"/>
        <v>0</v>
      </c>
      <c r="BL10" s="31">
        <f t="shared" si="30"/>
        <v>0</v>
      </c>
      <c r="BM10" s="30">
        <f>+'YTD Figures Employees'!P10</f>
        <v>0</v>
      </c>
      <c r="BN10" s="30">
        <f t="shared" si="31"/>
        <v>-369000</v>
      </c>
      <c r="BO10" s="34"/>
      <c r="BP10" s="34"/>
      <c r="BR10" s="30">
        <f t="shared" si="32"/>
        <v>442800</v>
      </c>
      <c r="BS10" s="30">
        <f>+'YTD Figures Employees'!Q10</f>
        <v>0</v>
      </c>
      <c r="BT10" s="5">
        <f t="shared" si="0"/>
        <v>0</v>
      </c>
      <c r="BU10" s="31">
        <f t="shared" si="1"/>
        <v>0</v>
      </c>
      <c r="BV10" s="30">
        <f>+'YTD Figures Employees'!R10</f>
        <v>0</v>
      </c>
      <c r="BW10" s="30">
        <f t="shared" si="2"/>
        <v>-442800</v>
      </c>
      <c r="BX10" s="34"/>
      <c r="BY10" s="34"/>
      <c r="CA10" s="30">
        <f t="shared" si="47"/>
        <v>442800</v>
      </c>
      <c r="CB10" s="30">
        <f>+'YTD Figures Employees'!S10</f>
        <v>0</v>
      </c>
      <c r="CC10" s="5">
        <f t="shared" si="33"/>
        <v>0</v>
      </c>
      <c r="CD10" s="31">
        <f t="shared" si="3"/>
        <v>0</v>
      </c>
      <c r="CE10" s="30">
        <f>+'YTD Figures Employees'!T10</f>
        <v>0</v>
      </c>
      <c r="CF10" s="30">
        <f t="shared" si="48"/>
        <v>-442800</v>
      </c>
      <c r="CG10" s="34"/>
      <c r="CH10" s="34"/>
      <c r="CJ10" s="30">
        <f t="shared" si="4"/>
        <v>184500</v>
      </c>
      <c r="CK10" s="30">
        <f>+'YTD Figures Employees'!U10</f>
        <v>0</v>
      </c>
      <c r="CL10" s="5">
        <f t="shared" si="49"/>
        <v>0</v>
      </c>
      <c r="CM10" s="31">
        <f t="shared" si="50"/>
        <v>0</v>
      </c>
      <c r="CN10" s="30">
        <f>+'YTD Figures Employees'!V10</f>
        <v>0</v>
      </c>
      <c r="CO10" s="30">
        <f>+CK10-CJ10</f>
        <v>-184500</v>
      </c>
      <c r="CP10" s="34"/>
      <c r="CQ10" s="34"/>
      <c r="CS10" s="30">
        <f t="shared" si="37"/>
        <v>147600</v>
      </c>
      <c r="CT10" s="30">
        <f>+'YTD Figures Employees'!W10</f>
        <v>0</v>
      </c>
      <c r="CU10" s="5">
        <f t="shared" si="38"/>
        <v>0</v>
      </c>
      <c r="CV10" s="31">
        <f t="shared" si="39"/>
        <v>0</v>
      </c>
      <c r="CW10" s="31">
        <f>+'YTD Figures Employees'!X10</f>
        <v>0</v>
      </c>
      <c r="CX10" s="30">
        <f t="shared" si="40"/>
        <v>-147600</v>
      </c>
      <c r="CY10" s="34"/>
      <c r="CZ10" s="34"/>
      <c r="DC10" s="30">
        <f>+'YTD Figures Employees'!Y10</f>
        <v>0</v>
      </c>
      <c r="DD10" s="30">
        <f>+'YTD Figures Employees'!Z10</f>
        <v>0</v>
      </c>
      <c r="DI10" s="31">
        <f t="shared" si="41"/>
        <v>994682.98</v>
      </c>
      <c r="DJ10" s="31">
        <f t="shared" si="42"/>
        <v>1025156.91</v>
      </c>
      <c r="DL10" s="61">
        <f t="shared" si="7"/>
        <v>1.0306368266198744</v>
      </c>
      <c r="DM10" s="35">
        <f t="shared" si="51"/>
        <v>0.26956178319783197</v>
      </c>
      <c r="DN10" s="30">
        <f t="shared" si="43"/>
        <v>3690000</v>
      </c>
      <c r="DO10" s="35">
        <f t="shared" si="8"/>
        <v>0.27782030081300813</v>
      </c>
      <c r="DP10" s="35">
        <f t="shared" si="9"/>
        <v>0.26956178319783197</v>
      </c>
      <c r="DR10" s="30">
        <f>+'Salaries &amp; Budgets'!K16</f>
        <v>4059000</v>
      </c>
      <c r="DS10" s="30">
        <f t="shared" si="44"/>
        <v>1025156.91</v>
      </c>
      <c r="DT10" s="30">
        <f t="shared" si="45"/>
        <v>3033843.09</v>
      </c>
    </row>
    <row r="11" spans="2:124">
      <c r="B11" s="40" t="s">
        <v>39</v>
      </c>
      <c r="C11" s="7">
        <f>+'Firm Budget YE 2026'!C18</f>
        <v>1080000</v>
      </c>
      <c r="E11" s="7">
        <f t="shared" si="10"/>
        <v>162000</v>
      </c>
      <c r="F11" s="5">
        <f>+'YTD Figures Employees'!C11</f>
        <v>356769.61</v>
      </c>
      <c r="G11" s="5"/>
      <c r="H11" s="31"/>
      <c r="I11" s="5">
        <f>+'YTD Figures Employees'!D11</f>
        <v>187845.44000000003</v>
      </c>
      <c r="J11" s="30">
        <f t="shared" si="11"/>
        <v>194769.61</v>
      </c>
      <c r="K11" s="21"/>
      <c r="L11" s="21"/>
      <c r="M11" s="21"/>
      <c r="N11" s="21"/>
      <c r="P11" s="30">
        <f t="shared" si="12"/>
        <v>81000</v>
      </c>
      <c r="Q11" s="31">
        <f>+'YTD Figures Employees'!E11</f>
        <v>179394.92999999996</v>
      </c>
      <c r="R11" s="31"/>
      <c r="S11" s="31"/>
      <c r="T11" s="31">
        <f>+'YTD Figures Employees'!F11</f>
        <v>145743.71</v>
      </c>
      <c r="U11" s="30">
        <f t="shared" si="14"/>
        <v>98394.929999999964</v>
      </c>
      <c r="V11" s="34"/>
      <c r="W11" s="34"/>
      <c r="Y11" s="30">
        <f t="shared" si="15"/>
        <v>81000</v>
      </c>
      <c r="Z11" s="31">
        <f>+'May''25 Billing'!N55</f>
        <v>112263.74999999999</v>
      </c>
      <c r="AA11" s="31"/>
      <c r="AB11" s="31"/>
      <c r="AC11" s="30">
        <f>+'YTD Figures Employees'!H11</f>
        <v>251867.39000000007</v>
      </c>
      <c r="AD11" s="30">
        <f t="shared" si="16"/>
        <v>31263.749999999985</v>
      </c>
      <c r="AE11" s="34"/>
      <c r="AF11" s="34"/>
      <c r="AH11" s="30">
        <f t="shared" si="17"/>
        <v>97200</v>
      </c>
      <c r="AI11" s="30">
        <f>+'YTD Figures Employees'!I11</f>
        <v>0</v>
      </c>
      <c r="AL11" s="30">
        <f>+'YTD Figures Employees'!J11</f>
        <v>0</v>
      </c>
      <c r="AM11" s="30">
        <f t="shared" ref="AM11:AM17" si="52">+AI11-AH11</f>
        <v>-97200</v>
      </c>
      <c r="AN11" s="34"/>
      <c r="AO11" s="34"/>
      <c r="AQ11" s="30">
        <f t="shared" ref="AQ11:AQ16" si="53">C11*0.09</f>
        <v>97200</v>
      </c>
      <c r="AR11" s="30">
        <f>+'YTD Figures Employees'!K11</f>
        <v>0</v>
      </c>
      <c r="AS11" s="5">
        <f t="shared" si="21"/>
        <v>0</v>
      </c>
      <c r="AT11" s="31">
        <f t="shared" si="22"/>
        <v>0</v>
      </c>
      <c r="AU11" s="30">
        <f>+'YTD Figures Employees'!L11</f>
        <v>0</v>
      </c>
      <c r="AV11" s="30">
        <f t="shared" si="23"/>
        <v>-97200</v>
      </c>
      <c r="AW11" s="34"/>
      <c r="AX11" s="34"/>
      <c r="AZ11" s="30">
        <f t="shared" si="24"/>
        <v>97200</v>
      </c>
      <c r="BA11" s="30">
        <f>+'YTD Figures Employees'!M11</f>
        <v>0</v>
      </c>
      <c r="BB11" s="5">
        <f t="shared" si="25"/>
        <v>0</v>
      </c>
      <c r="BC11" s="31">
        <f t="shared" si="26"/>
        <v>0</v>
      </c>
      <c r="BD11" s="30">
        <f>+'YTD Figures Employees'!N11</f>
        <v>0</v>
      </c>
      <c r="BE11" s="30">
        <f t="shared" si="27"/>
        <v>-97200</v>
      </c>
      <c r="BF11" s="34"/>
      <c r="BG11" s="34"/>
      <c r="BI11" s="30">
        <f>+'Firm Budget YE 2026'!J18</f>
        <v>108000</v>
      </c>
      <c r="BJ11" s="30">
        <f>+'YTD Figures Employees'!O11</f>
        <v>0</v>
      </c>
      <c r="BK11" s="5">
        <f t="shared" si="29"/>
        <v>0</v>
      </c>
      <c r="BL11" s="31">
        <f t="shared" si="30"/>
        <v>0</v>
      </c>
      <c r="BM11" s="30">
        <f>+'YTD Figures Employees'!P11</f>
        <v>0</v>
      </c>
      <c r="BN11" s="30">
        <f t="shared" si="31"/>
        <v>-108000</v>
      </c>
      <c r="BO11" s="34"/>
      <c r="BP11" s="34"/>
      <c r="BR11" s="30">
        <f>+'Firm Budget YE 2026'!K18</f>
        <v>129600</v>
      </c>
      <c r="BS11" s="30">
        <f>+'YTD Figures Employees'!Q11</f>
        <v>0</v>
      </c>
      <c r="BT11" s="5">
        <f t="shared" si="0"/>
        <v>0</v>
      </c>
      <c r="BU11" s="31">
        <f t="shared" si="1"/>
        <v>0</v>
      </c>
      <c r="BV11" s="30">
        <f>+'YTD Figures Employees'!R11</f>
        <v>0</v>
      </c>
      <c r="BW11" s="30">
        <f t="shared" si="2"/>
        <v>-129600</v>
      </c>
      <c r="BX11" s="34"/>
      <c r="BY11" s="34"/>
      <c r="CA11" s="30">
        <f t="shared" si="47"/>
        <v>129600</v>
      </c>
      <c r="CB11" s="30">
        <f>+'YTD Figures Employees'!S11</f>
        <v>0</v>
      </c>
      <c r="CC11" s="5">
        <f t="shared" si="33"/>
        <v>0</v>
      </c>
      <c r="CD11" s="31">
        <f t="shared" si="3"/>
        <v>0</v>
      </c>
      <c r="CE11" s="30">
        <f>+'YTD Figures Employees'!T11</f>
        <v>0</v>
      </c>
      <c r="CF11" s="30">
        <f t="shared" si="48"/>
        <v>-129600</v>
      </c>
      <c r="CG11" s="34"/>
      <c r="CH11" s="34"/>
      <c r="CJ11" s="30">
        <f t="shared" si="4"/>
        <v>54000</v>
      </c>
      <c r="CK11" s="30">
        <f>+'YTD Figures Employees'!U11</f>
        <v>0</v>
      </c>
      <c r="CL11" s="5">
        <f t="shared" si="49"/>
        <v>0</v>
      </c>
      <c r="CM11" s="31">
        <f t="shared" si="50"/>
        <v>0</v>
      </c>
      <c r="CN11" s="30">
        <f>+'YTD Figures Employees'!V11</f>
        <v>0</v>
      </c>
      <c r="CO11" s="30">
        <f t="shared" si="36"/>
        <v>-54000</v>
      </c>
      <c r="CP11" s="34"/>
      <c r="CQ11" s="34"/>
      <c r="CS11" s="30">
        <f t="shared" si="37"/>
        <v>43200</v>
      </c>
      <c r="CT11" s="30">
        <f>+'YTD Figures Employees'!W11</f>
        <v>0</v>
      </c>
      <c r="CU11" s="5">
        <f t="shared" si="38"/>
        <v>0</v>
      </c>
      <c r="CV11" s="31">
        <f t="shared" si="39"/>
        <v>0</v>
      </c>
      <c r="CW11" s="31">
        <f>+'YTD Figures Employees'!X11</f>
        <v>0</v>
      </c>
      <c r="CX11" s="30">
        <f t="shared" si="40"/>
        <v>-43200</v>
      </c>
      <c r="CY11" s="34"/>
      <c r="CZ11" s="34"/>
      <c r="DC11" s="30">
        <f>+'YTD Figures Employees'!Y11</f>
        <v>0</v>
      </c>
      <c r="DD11" s="30">
        <f>+'YTD Figures Employees'!Z11</f>
        <v>0</v>
      </c>
      <c r="DI11" s="31">
        <f t="shared" si="41"/>
        <v>648428.28999999992</v>
      </c>
      <c r="DJ11" s="31">
        <f t="shared" si="42"/>
        <v>585456.54</v>
      </c>
      <c r="DL11" s="61">
        <f t="shared" si="7"/>
        <v>0.90288556040637913</v>
      </c>
      <c r="DM11" s="35">
        <f t="shared" si="51"/>
        <v>0.60039656481481474</v>
      </c>
      <c r="DN11" s="30">
        <f t="shared" si="43"/>
        <v>1080000</v>
      </c>
      <c r="DO11" s="35">
        <f t="shared" si="8"/>
        <v>0.54208938888888891</v>
      </c>
      <c r="DP11" s="35">
        <f t="shared" si="9"/>
        <v>0.60039656481481474</v>
      </c>
      <c r="DR11" s="30">
        <f>+'Salaries &amp; Budgets'!K17</f>
        <v>1188000</v>
      </c>
      <c r="DS11" s="30">
        <f t="shared" si="44"/>
        <v>585456.54</v>
      </c>
      <c r="DT11" s="30">
        <f t="shared" si="45"/>
        <v>602543.46</v>
      </c>
    </row>
    <row r="12" spans="2:124">
      <c r="B12" s="1" t="s">
        <v>40</v>
      </c>
      <c r="C12" s="7">
        <f>+'Firm Budget YE 2026'!C19</f>
        <v>1260000</v>
      </c>
      <c r="E12" s="7">
        <f t="shared" si="10"/>
        <v>189000</v>
      </c>
      <c r="F12" s="5">
        <f>+'Mar''25 Billing'!O78</f>
        <v>232880</v>
      </c>
      <c r="G12" s="5"/>
      <c r="H12" s="31"/>
      <c r="I12" s="5">
        <f>+'YTD Figures Employees'!D12</f>
        <v>0</v>
      </c>
      <c r="J12" s="30">
        <f t="shared" si="11"/>
        <v>43880</v>
      </c>
      <c r="K12" s="21"/>
      <c r="L12" s="21"/>
      <c r="M12" s="21"/>
      <c r="N12" s="21"/>
      <c r="P12" s="30">
        <f t="shared" si="12"/>
        <v>94500</v>
      </c>
      <c r="Q12" s="31">
        <f>+'YTD Figures Employees'!E12</f>
        <v>224854.05</v>
      </c>
      <c r="R12" s="31"/>
      <c r="S12" s="31"/>
      <c r="T12" s="31">
        <f>+'YTD Figures Employees'!F12</f>
        <v>0</v>
      </c>
      <c r="U12" s="30">
        <f t="shared" si="14"/>
        <v>130354.04999999999</v>
      </c>
      <c r="V12" s="34"/>
      <c r="W12" s="34"/>
      <c r="Y12" s="30">
        <f t="shared" si="15"/>
        <v>94500</v>
      </c>
      <c r="Z12" s="31">
        <f>+'May''25 Billing'!O55</f>
        <v>110997.99</v>
      </c>
      <c r="AA12" s="31"/>
      <c r="AB12" s="31"/>
      <c r="AC12" s="30">
        <f>+'YTD Figures Employees'!H12</f>
        <v>60160</v>
      </c>
      <c r="AD12" s="30">
        <f t="shared" si="16"/>
        <v>16497.990000000005</v>
      </c>
      <c r="AE12" s="34"/>
      <c r="AF12" s="34"/>
      <c r="AH12" s="30">
        <f t="shared" si="17"/>
        <v>113400</v>
      </c>
      <c r="AI12" s="30">
        <f>+'YTD Figures Employees'!I12</f>
        <v>0</v>
      </c>
      <c r="AL12" s="30">
        <f>+'YTD Figures Employees'!J12</f>
        <v>0</v>
      </c>
      <c r="AM12" s="30">
        <f t="shared" si="52"/>
        <v>-113400</v>
      </c>
      <c r="AN12" s="34"/>
      <c r="AO12" s="34"/>
      <c r="AQ12" s="30">
        <f t="shared" si="53"/>
        <v>113400</v>
      </c>
      <c r="AR12" s="30">
        <f>+'YTD Figures Employees'!K12</f>
        <v>0</v>
      </c>
      <c r="AS12" s="5"/>
      <c r="AT12" s="31"/>
      <c r="AU12" s="30">
        <f>+'YTD Figures Employees'!L12</f>
        <v>0</v>
      </c>
      <c r="AV12" s="30">
        <f t="shared" si="23"/>
        <v>-113400</v>
      </c>
      <c r="AW12" s="34"/>
      <c r="AX12" s="34"/>
      <c r="AZ12" s="30">
        <f t="shared" si="24"/>
        <v>113400</v>
      </c>
      <c r="BA12" s="30">
        <f>+'YTD Figures Employees'!M12</f>
        <v>0</v>
      </c>
      <c r="BB12" s="5">
        <f t="shared" si="25"/>
        <v>0</v>
      </c>
      <c r="BC12" s="31">
        <f t="shared" si="26"/>
        <v>0</v>
      </c>
      <c r="BD12" s="30">
        <f>+'YTD Figures Employees'!N12</f>
        <v>0</v>
      </c>
      <c r="BE12" s="30">
        <f t="shared" si="27"/>
        <v>-113400</v>
      </c>
      <c r="BF12" s="34"/>
      <c r="BG12" s="34"/>
      <c r="BI12" s="30">
        <f>+'Firm Budget YE 2026'!J19</f>
        <v>126000</v>
      </c>
      <c r="BJ12" s="30">
        <f>+'YTD Figures Employees'!O12</f>
        <v>0</v>
      </c>
      <c r="BK12" s="5">
        <f t="shared" si="29"/>
        <v>0</v>
      </c>
      <c r="BL12" s="31">
        <f t="shared" si="30"/>
        <v>0</v>
      </c>
      <c r="BM12" s="30">
        <f>+'YTD Figures Employees'!P12</f>
        <v>0</v>
      </c>
      <c r="BN12" s="30">
        <f t="shared" si="31"/>
        <v>-126000</v>
      </c>
      <c r="BO12" s="34"/>
      <c r="BP12" s="34"/>
      <c r="BR12" s="30">
        <f>+'Firm Budget YE 2026'!K19</f>
        <v>151200</v>
      </c>
      <c r="BS12" s="30">
        <f>+'YTD Figures Employees'!Q12</f>
        <v>0</v>
      </c>
      <c r="BT12" s="5">
        <f t="shared" si="0"/>
        <v>0</v>
      </c>
      <c r="BU12" s="31">
        <f t="shared" si="1"/>
        <v>0</v>
      </c>
      <c r="BV12" s="30">
        <f>+'YTD Figures Employees'!R12</f>
        <v>0</v>
      </c>
      <c r="BW12" s="30">
        <f t="shared" si="2"/>
        <v>-151200</v>
      </c>
      <c r="BX12" s="34"/>
      <c r="BY12" s="34"/>
      <c r="CA12" s="30">
        <f t="shared" si="47"/>
        <v>151200</v>
      </c>
      <c r="CB12" s="30">
        <f>+'YTD Figures Employees'!S12</f>
        <v>0</v>
      </c>
      <c r="CC12" s="5">
        <f t="shared" si="33"/>
        <v>0</v>
      </c>
      <c r="CD12" s="31">
        <f t="shared" si="3"/>
        <v>0</v>
      </c>
      <c r="CE12" s="30">
        <f>+'YTD Figures Employees'!T12</f>
        <v>0</v>
      </c>
      <c r="CF12" s="30">
        <f>+CB12-CA12</f>
        <v>-151200</v>
      </c>
      <c r="CG12" s="34"/>
      <c r="CH12" s="34"/>
      <c r="CJ12" s="30">
        <f t="shared" si="4"/>
        <v>63000</v>
      </c>
      <c r="CK12" s="30">
        <f>+'YTD Figures Employees'!U12</f>
        <v>0</v>
      </c>
      <c r="CL12" s="5">
        <f t="shared" si="49"/>
        <v>0</v>
      </c>
      <c r="CM12" s="31">
        <f t="shared" si="50"/>
        <v>0</v>
      </c>
      <c r="CN12" s="30">
        <f>+'YTD Figures Employees'!V12</f>
        <v>0</v>
      </c>
      <c r="CO12" s="30">
        <f>+CK12-CJ12</f>
        <v>-63000</v>
      </c>
      <c r="CP12" s="34"/>
      <c r="CQ12" s="34"/>
      <c r="CS12" s="30">
        <f t="shared" si="37"/>
        <v>50400</v>
      </c>
      <c r="CT12" s="30">
        <f>+'YTD Figures Employees'!W12</f>
        <v>0</v>
      </c>
      <c r="CU12" s="5">
        <f t="shared" si="38"/>
        <v>0</v>
      </c>
      <c r="CV12" s="31">
        <f t="shared" si="39"/>
        <v>0</v>
      </c>
      <c r="CW12" s="31">
        <f>+'YTD Figures Employees'!X12</f>
        <v>0</v>
      </c>
      <c r="CX12" s="30">
        <f t="shared" si="40"/>
        <v>-50400</v>
      </c>
      <c r="CY12" s="34"/>
      <c r="CZ12" s="34"/>
      <c r="DC12" s="30">
        <f>+'YTD Figures Employees'!Y12</f>
        <v>0</v>
      </c>
      <c r="DD12" s="30">
        <f>+'YTD Figures Employees'!Z12</f>
        <v>0</v>
      </c>
      <c r="DI12" s="31">
        <f t="shared" si="41"/>
        <v>568732.04</v>
      </c>
      <c r="DJ12" s="31">
        <f t="shared" si="42"/>
        <v>60160</v>
      </c>
      <c r="DL12" s="61">
        <f t="shared" si="7"/>
        <v>0.1057791644726047</v>
      </c>
      <c r="DM12" s="35">
        <f t="shared" si="51"/>
        <v>0.45137463492063495</v>
      </c>
      <c r="DN12" s="30">
        <f t="shared" si="43"/>
        <v>1260000</v>
      </c>
      <c r="DO12" s="35">
        <f t="shared" si="8"/>
        <v>4.7746031746031745E-2</v>
      </c>
      <c r="DP12" s="35">
        <f t="shared" si="9"/>
        <v>0.45137463492063495</v>
      </c>
      <c r="DR12" s="30">
        <f>+'Salaries &amp; Budgets'!K18</f>
        <v>1386000</v>
      </c>
      <c r="DS12" s="30">
        <f t="shared" si="44"/>
        <v>60160</v>
      </c>
      <c r="DT12" s="30">
        <f t="shared" si="45"/>
        <v>1325840</v>
      </c>
    </row>
    <row r="13" spans="2:124">
      <c r="B13" s="1" t="s">
        <v>41</v>
      </c>
      <c r="C13" s="7">
        <f>+'Firm Budget YE 2026'!C20</f>
        <v>792000</v>
      </c>
      <c r="E13" s="7">
        <f t="shared" si="10"/>
        <v>118800</v>
      </c>
      <c r="F13" s="5">
        <f>+'YTD Figures Employees'!C13</f>
        <v>124788.18000000001</v>
      </c>
      <c r="G13" s="5"/>
      <c r="H13" s="31"/>
      <c r="I13" s="5">
        <f>+'YTD Figures Employees'!D13</f>
        <v>0</v>
      </c>
      <c r="J13" s="30">
        <f t="shared" si="11"/>
        <v>5988.1800000000076</v>
      </c>
      <c r="K13" s="21"/>
      <c r="L13" s="21"/>
      <c r="M13" s="21"/>
      <c r="N13" s="21"/>
      <c r="P13" s="30">
        <f t="shared" si="12"/>
        <v>59400</v>
      </c>
      <c r="Q13" s="31">
        <f>+'YTD Figures Employees'!E13</f>
        <v>112243.8</v>
      </c>
      <c r="R13" s="31"/>
      <c r="S13" s="31"/>
      <c r="T13" s="31">
        <f>+'YTD Figures Employees'!F13</f>
        <v>36569.26</v>
      </c>
      <c r="U13" s="30">
        <f t="shared" si="14"/>
        <v>52843.8</v>
      </c>
      <c r="V13" s="34"/>
      <c r="W13" s="34"/>
      <c r="Y13" s="30">
        <v>16971</v>
      </c>
      <c r="Z13" s="31">
        <f>+'May''25 Billing'!P55</f>
        <v>0</v>
      </c>
      <c r="AA13" s="31"/>
      <c r="AB13" s="31"/>
      <c r="AC13" s="30">
        <f>+'YTD Figures Employees'!H13</f>
        <v>86415.22</v>
      </c>
      <c r="AD13" s="30">
        <f t="shared" si="16"/>
        <v>-16971</v>
      </c>
      <c r="AE13" s="34"/>
      <c r="AF13" s="34"/>
      <c r="AH13" s="30">
        <v>0</v>
      </c>
      <c r="AI13" s="30">
        <f>+'YTD Figures Employees'!I13</f>
        <v>0</v>
      </c>
      <c r="AL13" s="30">
        <f>+'YTD Figures Employees'!J13</f>
        <v>0</v>
      </c>
      <c r="AM13" s="30">
        <f t="shared" si="52"/>
        <v>0</v>
      </c>
      <c r="AN13" s="34"/>
      <c r="AO13" s="34"/>
      <c r="AQ13" s="30">
        <v>0</v>
      </c>
      <c r="AR13" s="30">
        <f>+'YTD Figures Employees'!K13</f>
        <v>0</v>
      </c>
      <c r="AS13" s="5"/>
      <c r="AT13" s="31"/>
      <c r="AU13" s="30">
        <f>+'YTD Figures Employees'!L13</f>
        <v>0</v>
      </c>
      <c r="AV13" s="30">
        <f t="shared" si="23"/>
        <v>0</v>
      </c>
      <c r="AW13" s="34"/>
      <c r="AX13" s="34"/>
      <c r="AZ13" s="30">
        <f t="shared" si="24"/>
        <v>71280</v>
      </c>
      <c r="BA13" s="30">
        <f>+'YTD Figures Employees'!M13</f>
        <v>0</v>
      </c>
      <c r="BB13" s="5"/>
      <c r="BC13" s="31"/>
      <c r="BD13" s="30">
        <f>+'YTD Figures Employees'!N13</f>
        <v>0</v>
      </c>
      <c r="BE13" s="30">
        <f t="shared" si="27"/>
        <v>-71280</v>
      </c>
      <c r="BF13" s="34"/>
      <c r="BG13" s="34"/>
      <c r="BI13" s="30">
        <f>+'Firm Budget YE 2026'!J20</f>
        <v>0</v>
      </c>
      <c r="BJ13" s="30">
        <f>+'YTD Figures Employees'!O13</f>
        <v>0</v>
      </c>
      <c r="BK13" s="5"/>
      <c r="BL13" s="31"/>
      <c r="BM13" s="30">
        <f>+'YTD Figures Employees'!P13</f>
        <v>0</v>
      </c>
      <c r="BN13" s="30">
        <f t="shared" si="31"/>
        <v>0</v>
      </c>
      <c r="BO13" s="34"/>
      <c r="BP13" s="34"/>
      <c r="BR13" s="30">
        <f>+'Firm Budget YE 2026'!K20</f>
        <v>0</v>
      </c>
      <c r="BS13" s="30">
        <f>+'YTD Figures Employees'!Q13</f>
        <v>0</v>
      </c>
      <c r="BT13" s="5"/>
      <c r="BU13" s="31"/>
      <c r="BV13" s="30">
        <f>+'YTD Figures Employees'!R13</f>
        <v>0</v>
      </c>
      <c r="BW13" s="30">
        <f t="shared" si="2"/>
        <v>0</v>
      </c>
      <c r="BX13" s="34"/>
      <c r="BY13" s="34"/>
      <c r="CA13" s="30">
        <f t="shared" si="47"/>
        <v>95040</v>
      </c>
      <c r="CB13" s="30">
        <f>+'YTD Figures Employees'!S13</f>
        <v>0</v>
      </c>
      <c r="CC13" s="5"/>
      <c r="CD13" s="31"/>
      <c r="CE13" s="30">
        <f>+'YTD Figures Employees'!T13</f>
        <v>0</v>
      </c>
      <c r="CF13" s="30">
        <f t="shared" si="48"/>
        <v>-95040</v>
      </c>
      <c r="CG13" s="34"/>
      <c r="CH13" s="34"/>
      <c r="CJ13" s="30">
        <f t="shared" si="4"/>
        <v>39600</v>
      </c>
      <c r="CK13" s="30">
        <f>+'YTD Figures Employees'!U13</f>
        <v>0</v>
      </c>
      <c r="CL13" s="5"/>
      <c r="CM13" s="31"/>
      <c r="CN13" s="30">
        <f>+'YTD Figures Employees'!V13</f>
        <v>0</v>
      </c>
      <c r="CO13" s="30">
        <f t="shared" si="36"/>
        <v>-39600</v>
      </c>
      <c r="CP13" s="34"/>
      <c r="CQ13" s="34"/>
      <c r="CS13" s="30">
        <f t="shared" si="37"/>
        <v>31680</v>
      </c>
      <c r="CT13" s="30">
        <f>+'YTD Figures Employees'!W13</f>
        <v>0</v>
      </c>
      <c r="CU13" s="5"/>
      <c r="CV13" s="31"/>
      <c r="CW13" s="31">
        <f>+'YTD Figures Employees'!X13</f>
        <v>0</v>
      </c>
      <c r="CX13" s="30">
        <f t="shared" si="40"/>
        <v>-31680</v>
      </c>
      <c r="CY13" s="34"/>
      <c r="CZ13" s="34"/>
      <c r="DC13" s="30">
        <f>+'YTD Figures Employees'!Y13</f>
        <v>0</v>
      </c>
      <c r="DD13" s="30">
        <f>+'YTD Figures Employees'!Z13</f>
        <v>0</v>
      </c>
      <c r="DI13" s="31">
        <f t="shared" si="41"/>
        <v>237031.98</v>
      </c>
      <c r="DJ13" s="31">
        <f t="shared" si="42"/>
        <v>122984.48000000001</v>
      </c>
      <c r="DL13" s="61">
        <f t="shared" si="7"/>
        <v>0.51885184437981746</v>
      </c>
      <c r="DM13" s="35">
        <f t="shared" si="51"/>
        <v>0.29928280303030302</v>
      </c>
      <c r="DN13" s="30">
        <f t="shared" si="43"/>
        <v>432771</v>
      </c>
      <c r="DO13" s="35">
        <f t="shared" si="8"/>
        <v>0.28417911551374747</v>
      </c>
      <c r="DP13" s="35">
        <f t="shared" si="9"/>
        <v>0.54770763290516233</v>
      </c>
      <c r="DR13" s="30">
        <f>+'Salaries &amp; Budgets'!K19</f>
        <v>871200</v>
      </c>
      <c r="DS13" s="30">
        <f t="shared" si="44"/>
        <v>122984.48000000001</v>
      </c>
      <c r="DT13" s="30">
        <f t="shared" si="45"/>
        <v>748215.52</v>
      </c>
    </row>
    <row r="14" spans="2:124">
      <c r="B14" s="1" t="s">
        <v>42</v>
      </c>
      <c r="C14" s="7">
        <f>+'Firm Budget YE 2026'!C21</f>
        <v>7500000</v>
      </c>
      <c r="E14" s="7">
        <f t="shared" si="10"/>
        <v>1125000</v>
      </c>
      <c r="F14" s="5">
        <f>+'YTD Figures Employees'!C14</f>
        <v>674302.7</v>
      </c>
      <c r="G14" s="5"/>
      <c r="H14" s="31"/>
      <c r="I14" s="5">
        <f>+'YTD Figures Employees'!D14</f>
        <v>529003.26</v>
      </c>
      <c r="J14" s="30">
        <f t="shared" si="11"/>
        <v>-450697.30000000005</v>
      </c>
      <c r="K14" s="21"/>
      <c r="L14" s="21"/>
      <c r="M14" s="21"/>
      <c r="N14" s="21"/>
      <c r="P14" s="30">
        <f t="shared" si="12"/>
        <v>562500</v>
      </c>
      <c r="Q14" s="31">
        <f>+'YTD Figures Employees'!E14</f>
        <v>351838.00000000006</v>
      </c>
      <c r="R14" s="31"/>
      <c r="S14" s="31"/>
      <c r="T14" s="31">
        <f>+'YTD Figures Employees'!F14</f>
        <v>343041.17</v>
      </c>
      <c r="U14" s="30">
        <f t="shared" si="14"/>
        <v>-210661.99999999994</v>
      </c>
      <c r="V14" s="34"/>
      <c r="W14" s="34"/>
      <c r="Y14" s="30">
        <f t="shared" si="15"/>
        <v>562500</v>
      </c>
      <c r="Z14" s="31">
        <f>+'May''25 Billing'!Q55</f>
        <v>388232.94999999995</v>
      </c>
      <c r="AA14" s="31"/>
      <c r="AB14" s="31"/>
      <c r="AC14" s="30">
        <f>+'YTD Figures Employees'!H14</f>
        <v>143304.35</v>
      </c>
      <c r="AD14" s="30">
        <f t="shared" si="16"/>
        <v>-174267.05000000005</v>
      </c>
      <c r="AE14" s="34"/>
      <c r="AF14" s="34"/>
      <c r="AH14" s="30">
        <f t="shared" si="17"/>
        <v>675000</v>
      </c>
      <c r="AI14" s="30">
        <f>+'YTD Figures Employees'!I14</f>
        <v>0</v>
      </c>
      <c r="AL14" s="30">
        <f>+'YTD Figures Employees'!J14</f>
        <v>0</v>
      </c>
      <c r="AM14" s="30">
        <f t="shared" si="52"/>
        <v>-675000</v>
      </c>
      <c r="AN14" s="34"/>
      <c r="AO14" s="34"/>
      <c r="AQ14" s="30">
        <f t="shared" si="53"/>
        <v>675000</v>
      </c>
      <c r="AR14" s="30">
        <f>+'YTD Figures Employees'!K14</f>
        <v>0</v>
      </c>
      <c r="AS14" s="5"/>
      <c r="AT14" s="31"/>
      <c r="AU14" s="30">
        <f>+'YTD Figures Employees'!L14</f>
        <v>0</v>
      </c>
      <c r="AV14" s="30">
        <f t="shared" si="23"/>
        <v>-675000</v>
      </c>
      <c r="AW14" s="34"/>
      <c r="AX14" s="34"/>
      <c r="AZ14" s="30">
        <f t="shared" si="24"/>
        <v>675000</v>
      </c>
      <c r="BA14" s="30">
        <f>+'YTD Figures Employees'!M14</f>
        <v>0</v>
      </c>
      <c r="BB14" s="5"/>
      <c r="BC14" s="31"/>
      <c r="BD14" s="30">
        <f>+'YTD Figures Employees'!N14</f>
        <v>0</v>
      </c>
      <c r="BE14" s="30">
        <f t="shared" si="27"/>
        <v>-675000</v>
      </c>
      <c r="BF14" s="34"/>
      <c r="BG14" s="34"/>
      <c r="BI14" s="30">
        <f>+'Firm Budget YE 2026'!J21</f>
        <v>750000</v>
      </c>
      <c r="BJ14" s="30">
        <f>+'YTD Figures Employees'!O14</f>
        <v>0</v>
      </c>
      <c r="BK14" s="5">
        <f t="shared" si="29"/>
        <v>0</v>
      </c>
      <c r="BL14" s="31">
        <f t="shared" si="30"/>
        <v>0</v>
      </c>
      <c r="BM14" s="30">
        <f>+'YTD Figures Employees'!P14</f>
        <v>0</v>
      </c>
      <c r="BN14" s="30">
        <f t="shared" si="31"/>
        <v>-750000</v>
      </c>
      <c r="BO14" s="34"/>
      <c r="BP14" s="34"/>
      <c r="BR14" s="30">
        <f>+'Firm Budget YE 2026'!K21</f>
        <v>900000</v>
      </c>
      <c r="BS14" s="30">
        <f>+'YTD Figures Employees'!Q14</f>
        <v>0</v>
      </c>
      <c r="BT14" s="5">
        <f t="shared" si="0"/>
        <v>0</v>
      </c>
      <c r="BU14" s="31">
        <f t="shared" si="1"/>
        <v>0</v>
      </c>
      <c r="BV14" s="30">
        <f>+'YTD Figures Employees'!R14</f>
        <v>0</v>
      </c>
      <c r="BW14" s="30">
        <f t="shared" si="2"/>
        <v>-900000</v>
      </c>
      <c r="BX14" s="34"/>
      <c r="BY14" s="34"/>
      <c r="CA14" s="30">
        <f t="shared" si="47"/>
        <v>900000</v>
      </c>
      <c r="CB14" s="30">
        <f>+'YTD Figures Employees'!S14</f>
        <v>0</v>
      </c>
      <c r="CC14" s="5">
        <f t="shared" si="33"/>
        <v>0</v>
      </c>
      <c r="CD14" s="31">
        <f t="shared" si="3"/>
        <v>0</v>
      </c>
      <c r="CE14" s="30">
        <f>+'YTD Figures Employees'!T14</f>
        <v>0</v>
      </c>
      <c r="CF14" s="30">
        <f t="shared" si="48"/>
        <v>-900000</v>
      </c>
      <c r="CG14" s="34"/>
      <c r="CH14" s="34"/>
      <c r="CJ14" s="30">
        <f t="shared" si="4"/>
        <v>375000</v>
      </c>
      <c r="CK14" s="30">
        <f>+'YTD Figures Employees'!U14</f>
        <v>0</v>
      </c>
      <c r="CL14" s="5">
        <f t="shared" si="49"/>
        <v>0</v>
      </c>
      <c r="CM14" s="31">
        <f t="shared" si="50"/>
        <v>0</v>
      </c>
      <c r="CN14" s="30">
        <f>+'YTD Figures Employees'!V14</f>
        <v>0</v>
      </c>
      <c r="CO14" s="30">
        <f t="shared" si="36"/>
        <v>-375000</v>
      </c>
      <c r="CP14" s="34"/>
      <c r="CQ14" s="34"/>
      <c r="CS14" s="30">
        <f t="shared" si="37"/>
        <v>300000</v>
      </c>
      <c r="CT14" s="30">
        <f>+'YTD Figures Employees'!W14</f>
        <v>0</v>
      </c>
      <c r="CU14" s="5">
        <f t="shared" si="38"/>
        <v>0</v>
      </c>
      <c r="CV14" s="31">
        <f t="shared" si="39"/>
        <v>0</v>
      </c>
      <c r="CW14" s="31">
        <f>+'YTD Figures Employees'!X14</f>
        <v>0</v>
      </c>
      <c r="CX14" s="30">
        <f t="shared" si="40"/>
        <v>-300000</v>
      </c>
      <c r="CY14" s="34"/>
      <c r="CZ14" s="34"/>
      <c r="DC14" s="30">
        <f>+'YTD Figures Employees'!Y14</f>
        <v>0</v>
      </c>
      <c r="DD14" s="30">
        <f>+'YTD Figures Employees'!Z14</f>
        <v>0</v>
      </c>
      <c r="DI14" s="31">
        <f t="shared" si="41"/>
        <v>1414373.65</v>
      </c>
      <c r="DJ14" s="31">
        <f t="shared" si="42"/>
        <v>1015348.7799999999</v>
      </c>
      <c r="DL14" s="61">
        <f t="shared" si="7"/>
        <v>0.71787874441806798</v>
      </c>
      <c r="DM14" s="35">
        <f t="shared" si="51"/>
        <v>0.18858315333333331</v>
      </c>
      <c r="DN14" s="30">
        <f t="shared" si="43"/>
        <v>7500000</v>
      </c>
      <c r="DO14" s="35">
        <f t="shared" si="8"/>
        <v>0.13537983733333331</v>
      </c>
      <c r="DP14" s="35">
        <f t="shared" si="9"/>
        <v>0.18858315333333331</v>
      </c>
      <c r="DR14" s="30">
        <f>+'Salaries &amp; Budgets'!K20</f>
        <v>8250000</v>
      </c>
      <c r="DS14" s="30">
        <f t="shared" si="44"/>
        <v>1015348.7799999999</v>
      </c>
      <c r="DT14" s="30">
        <f t="shared" si="45"/>
        <v>7234651.2199999997</v>
      </c>
    </row>
    <row r="15" spans="2:124">
      <c r="B15" s="1" t="s">
        <v>43</v>
      </c>
      <c r="C15" s="7">
        <f>+'Firm Budget YE 2026'!C22</f>
        <v>2250000</v>
      </c>
      <c r="E15" s="7">
        <f t="shared" si="10"/>
        <v>337500</v>
      </c>
      <c r="F15" s="5">
        <f>+'YTD Figures Employees'!C15</f>
        <v>474990</v>
      </c>
      <c r="G15" s="5"/>
      <c r="H15" s="31"/>
      <c r="I15" s="5">
        <f>+'YTD Figures Employees'!D15</f>
        <v>0</v>
      </c>
      <c r="J15" s="30">
        <f t="shared" si="11"/>
        <v>137490</v>
      </c>
      <c r="K15" s="21"/>
      <c r="L15" s="21"/>
      <c r="M15" s="21"/>
      <c r="N15" s="21"/>
      <c r="P15" s="30">
        <f t="shared" si="12"/>
        <v>168750</v>
      </c>
      <c r="Q15" s="31">
        <f>+'YTD Figures Employees'!E15</f>
        <v>199230</v>
      </c>
      <c r="R15" s="31"/>
      <c r="S15" s="31"/>
      <c r="T15" s="31">
        <f>+'YTD Figures Employees'!F15</f>
        <v>396960</v>
      </c>
      <c r="U15" s="30">
        <f t="shared" si="14"/>
        <v>30480</v>
      </c>
      <c r="V15" s="34"/>
      <c r="W15" s="34"/>
      <c r="Y15" s="30">
        <f t="shared" si="15"/>
        <v>168750</v>
      </c>
      <c r="Z15" s="31">
        <f>+'May''25 Billing'!R55</f>
        <v>91980</v>
      </c>
      <c r="AA15" s="31"/>
      <c r="AB15" s="31"/>
      <c r="AC15" s="30">
        <f>+'YTD Figures Employees'!H15</f>
        <v>0</v>
      </c>
      <c r="AD15" s="30">
        <f t="shared" si="16"/>
        <v>-76770</v>
      </c>
      <c r="AE15" s="34"/>
      <c r="AF15" s="34"/>
      <c r="AH15" s="30">
        <f t="shared" si="17"/>
        <v>202500</v>
      </c>
      <c r="AI15" s="30">
        <f>+'YTD Figures Employees'!I15</f>
        <v>0</v>
      </c>
      <c r="AL15" s="30">
        <f>+'YTD Figures Employees'!J15</f>
        <v>0</v>
      </c>
      <c r="AM15" s="30">
        <f t="shared" si="52"/>
        <v>-202500</v>
      </c>
      <c r="AN15" s="34"/>
      <c r="AO15" s="34"/>
      <c r="AQ15" s="30">
        <f t="shared" si="53"/>
        <v>202500</v>
      </c>
      <c r="AR15" s="30">
        <f>+'YTD Figures Employees'!K15</f>
        <v>0</v>
      </c>
      <c r="AS15" s="5"/>
      <c r="AT15" s="31"/>
      <c r="AU15" s="30">
        <f>+'YTD Figures Employees'!L15</f>
        <v>0</v>
      </c>
      <c r="AV15" s="30">
        <f t="shared" si="23"/>
        <v>-202500</v>
      </c>
      <c r="AW15" s="34"/>
      <c r="AX15" s="34"/>
      <c r="AZ15" s="30">
        <f t="shared" si="24"/>
        <v>202500</v>
      </c>
      <c r="BA15" s="30">
        <f>+'YTD Figures Employees'!M15</f>
        <v>0</v>
      </c>
      <c r="BB15" s="5"/>
      <c r="BC15" s="31"/>
      <c r="BD15" s="30">
        <f>+'YTD Figures Employees'!N15</f>
        <v>0</v>
      </c>
      <c r="BE15" s="30">
        <f t="shared" si="27"/>
        <v>-202500</v>
      </c>
      <c r="BF15" s="34"/>
      <c r="BG15" s="34"/>
      <c r="BI15" s="30">
        <f>+'Firm Budget YE 2026'!J22</f>
        <v>225000</v>
      </c>
      <c r="BJ15" s="30">
        <f>+'YTD Figures Employees'!O15</f>
        <v>0</v>
      </c>
      <c r="BK15" s="5"/>
      <c r="BL15" s="31"/>
      <c r="BM15" s="30">
        <f>+'YTD Figures Employees'!P15</f>
        <v>0</v>
      </c>
      <c r="BN15" s="30">
        <f t="shared" si="31"/>
        <v>-225000</v>
      </c>
      <c r="BO15" s="34"/>
      <c r="BP15" s="34"/>
      <c r="BR15" s="30">
        <f>+'Firm Budget YE 2026'!K22</f>
        <v>270000</v>
      </c>
      <c r="BS15" s="30">
        <f>+'YTD Figures Employees'!Q15</f>
        <v>0</v>
      </c>
      <c r="BT15" s="5"/>
      <c r="BU15" s="31"/>
      <c r="BV15" s="30">
        <f>+'YTD Figures Employees'!R15</f>
        <v>0</v>
      </c>
      <c r="BW15" s="30">
        <f t="shared" si="2"/>
        <v>-270000</v>
      </c>
      <c r="BX15" s="34"/>
      <c r="BY15" s="34"/>
      <c r="CA15" s="30">
        <f t="shared" si="47"/>
        <v>270000</v>
      </c>
      <c r="CB15" s="30">
        <f>+'YTD Figures Employees'!S15</f>
        <v>0</v>
      </c>
      <c r="CC15" s="5"/>
      <c r="CD15" s="31"/>
      <c r="CE15" s="30">
        <f>+'YTD Figures Employees'!T15</f>
        <v>0</v>
      </c>
      <c r="CF15" s="30">
        <f t="shared" si="48"/>
        <v>-270000</v>
      </c>
      <c r="CG15" s="34"/>
      <c r="CH15" s="34"/>
      <c r="CJ15" s="30">
        <f t="shared" si="4"/>
        <v>112500</v>
      </c>
      <c r="CK15" s="30">
        <f>+'YTD Figures Employees'!U15</f>
        <v>0</v>
      </c>
      <c r="CL15" s="5"/>
      <c r="CM15" s="31"/>
      <c r="CN15" s="30">
        <f>+'YTD Figures Employees'!V15</f>
        <v>0</v>
      </c>
      <c r="CO15" s="30">
        <f t="shared" si="36"/>
        <v>-112500</v>
      </c>
      <c r="CP15" s="34"/>
      <c r="CQ15" s="34"/>
      <c r="CS15" s="30">
        <f t="shared" si="37"/>
        <v>90000</v>
      </c>
      <c r="CT15" s="30">
        <f>+'YTD Figures Employees'!W15</f>
        <v>0</v>
      </c>
      <c r="CU15" s="5"/>
      <c r="CV15" s="31"/>
      <c r="CW15" s="31">
        <f>+'YTD Figures Employees'!X15</f>
        <v>0</v>
      </c>
      <c r="CX15" s="30">
        <f t="shared" si="40"/>
        <v>-90000</v>
      </c>
      <c r="CY15" s="34"/>
      <c r="CZ15" s="34"/>
      <c r="DC15" s="30">
        <f>+'YTD Figures Employees'!Y15</f>
        <v>0</v>
      </c>
      <c r="DD15" s="30">
        <f>+'YTD Figures Employees'!Z15</f>
        <v>0</v>
      </c>
      <c r="DI15" s="31">
        <f t="shared" si="41"/>
        <v>766200</v>
      </c>
      <c r="DJ15" s="31">
        <f t="shared" si="42"/>
        <v>396960</v>
      </c>
      <c r="DL15" s="61">
        <f t="shared" si="7"/>
        <v>0.51808927173061858</v>
      </c>
      <c r="DM15" s="35">
        <f t="shared" si="51"/>
        <v>0.34053333333333335</v>
      </c>
      <c r="DN15" s="30">
        <f t="shared" si="43"/>
        <v>2250000</v>
      </c>
      <c r="DO15" s="35">
        <f t="shared" si="8"/>
        <v>0.17642666666666668</v>
      </c>
      <c r="DP15" s="35">
        <f t="shared" si="9"/>
        <v>0.34053333333333335</v>
      </c>
      <c r="DR15" s="30">
        <f>+'Salaries &amp; Budgets'!K21</f>
        <v>2475000</v>
      </c>
      <c r="DS15" s="30">
        <f t="shared" si="44"/>
        <v>396960</v>
      </c>
      <c r="DT15" s="30">
        <f t="shared" si="45"/>
        <v>2078040</v>
      </c>
    </row>
    <row r="16" spans="2:124">
      <c r="B16" s="1" t="s">
        <v>44</v>
      </c>
      <c r="C16" s="7">
        <f>+'Firm Budget YE 2026'!C23</f>
        <v>540000</v>
      </c>
      <c r="E16" s="7">
        <f t="shared" si="10"/>
        <v>81000</v>
      </c>
      <c r="F16" s="5">
        <f>+'YTD Figures Employees'!C16</f>
        <v>93065.159999999989</v>
      </c>
      <c r="G16" s="5"/>
      <c r="H16" s="31"/>
      <c r="I16" s="5">
        <f>+'YTD Figures Employees'!D16</f>
        <v>11720.5</v>
      </c>
      <c r="J16" s="30">
        <f t="shared" si="11"/>
        <v>12065.159999999989</v>
      </c>
      <c r="K16" s="21"/>
      <c r="L16" s="21"/>
      <c r="M16" s="21"/>
      <c r="N16" s="21"/>
      <c r="P16" s="30">
        <f t="shared" si="12"/>
        <v>40500</v>
      </c>
      <c r="Q16" s="31">
        <f>+'YTD Figures Employees'!E16</f>
        <v>33788.29</v>
      </c>
      <c r="R16" s="31"/>
      <c r="S16" s="31"/>
      <c r="T16" s="31">
        <f>+'YTD Figures Employees'!F16</f>
        <v>12921.6</v>
      </c>
      <c r="U16" s="30">
        <f t="shared" si="14"/>
        <v>-6711.7099999999991</v>
      </c>
      <c r="V16" s="34"/>
      <c r="W16" s="34"/>
      <c r="Y16" s="30">
        <f t="shared" si="15"/>
        <v>40500</v>
      </c>
      <c r="Z16" s="31">
        <f>+'May''25 Billing'!S55</f>
        <v>30483.45</v>
      </c>
      <c r="AA16" s="31"/>
      <c r="AB16" s="31"/>
      <c r="AC16" s="30">
        <f>+'YTD Figures Employees'!H16</f>
        <v>8360</v>
      </c>
      <c r="AD16" s="30">
        <f t="shared" si="16"/>
        <v>-10016.549999999999</v>
      </c>
      <c r="AE16" s="34"/>
      <c r="AF16" s="34"/>
      <c r="AH16" s="30">
        <f t="shared" si="17"/>
        <v>48600</v>
      </c>
      <c r="AI16" s="30">
        <f>+'YTD Figures Employees'!I16</f>
        <v>0</v>
      </c>
      <c r="AL16" s="30">
        <f>+'YTD Figures Employees'!J16</f>
        <v>0</v>
      </c>
      <c r="AM16" s="30">
        <f t="shared" si="52"/>
        <v>-48600</v>
      </c>
      <c r="AN16" s="34"/>
      <c r="AO16" s="34"/>
      <c r="AQ16" s="30">
        <f t="shared" si="53"/>
        <v>48600</v>
      </c>
      <c r="AR16" s="30">
        <f>+'YTD Figures Employees'!K16</f>
        <v>0</v>
      </c>
      <c r="AS16" s="5"/>
      <c r="AT16" s="31"/>
      <c r="AU16" s="30">
        <f>+'YTD Figures Employees'!L16</f>
        <v>0</v>
      </c>
      <c r="AV16" s="30">
        <f t="shared" si="23"/>
        <v>-48600</v>
      </c>
      <c r="AW16" s="34"/>
      <c r="AX16" s="34"/>
      <c r="AZ16" s="30">
        <f t="shared" si="24"/>
        <v>48600</v>
      </c>
      <c r="BA16" s="30">
        <f>+'YTD Figures Employees'!M16</f>
        <v>0</v>
      </c>
      <c r="BB16" s="5"/>
      <c r="BC16" s="31"/>
      <c r="BD16" s="30">
        <f>+'YTD Figures Employees'!N16</f>
        <v>0</v>
      </c>
      <c r="BE16" s="30">
        <f t="shared" si="27"/>
        <v>-48600</v>
      </c>
      <c r="BF16" s="34"/>
      <c r="BG16" s="34"/>
      <c r="BI16" s="30">
        <f>+'Firm Budget YE 2026'!J23</f>
        <v>54000</v>
      </c>
      <c r="BJ16" s="30">
        <f>+'YTD Figures Employees'!O16</f>
        <v>0</v>
      </c>
      <c r="BK16" s="5"/>
      <c r="BL16" s="31"/>
      <c r="BM16" s="30">
        <f>+'YTD Figures Employees'!P16</f>
        <v>0</v>
      </c>
      <c r="BN16" s="30">
        <f t="shared" si="31"/>
        <v>-54000</v>
      </c>
      <c r="BO16" s="34"/>
      <c r="BP16" s="34"/>
      <c r="BR16" s="30">
        <f>+'Firm Budget YE 2026'!K23</f>
        <v>64800</v>
      </c>
      <c r="BS16" s="30">
        <f>+'YTD Figures Employees'!Q16</f>
        <v>0</v>
      </c>
      <c r="BT16" s="5"/>
      <c r="BU16" s="31"/>
      <c r="BV16" s="30">
        <f>+'YTD Figures Employees'!R16</f>
        <v>0</v>
      </c>
      <c r="BW16" s="30">
        <f t="shared" si="2"/>
        <v>-64800</v>
      </c>
      <c r="BX16" s="34"/>
      <c r="BY16" s="34"/>
      <c r="CA16" s="30">
        <f t="shared" si="47"/>
        <v>64800</v>
      </c>
      <c r="CB16" s="30">
        <f>+'YTD Figures Employees'!S16</f>
        <v>0</v>
      </c>
      <c r="CC16" s="5"/>
      <c r="CD16" s="31"/>
      <c r="CE16" s="30">
        <f>+'YTD Figures Employees'!T16</f>
        <v>0</v>
      </c>
      <c r="CF16" s="30">
        <f t="shared" si="48"/>
        <v>-64800</v>
      </c>
      <c r="CG16" s="34"/>
      <c r="CH16" s="34"/>
      <c r="CJ16" s="30">
        <f t="shared" si="4"/>
        <v>27000</v>
      </c>
      <c r="CK16" s="30">
        <f>+'YTD Figures Employees'!U16</f>
        <v>0</v>
      </c>
      <c r="CL16" s="5"/>
      <c r="CM16" s="31"/>
      <c r="CN16" s="30">
        <f>+'YTD Figures Employees'!V16</f>
        <v>0</v>
      </c>
      <c r="CO16" s="30">
        <f t="shared" si="36"/>
        <v>-27000</v>
      </c>
      <c r="CP16" s="34"/>
      <c r="CQ16" s="34"/>
      <c r="CS16" s="30">
        <f t="shared" si="37"/>
        <v>21600</v>
      </c>
      <c r="CT16" s="30">
        <f>+'YTD Figures Employees'!W16</f>
        <v>0</v>
      </c>
      <c r="CU16" s="5"/>
      <c r="CV16" s="31"/>
      <c r="CW16" s="31">
        <f>+'YTD Figures Employees'!X16</f>
        <v>0</v>
      </c>
      <c r="CX16" s="30">
        <f t="shared" si="40"/>
        <v>-21600</v>
      </c>
      <c r="CY16" s="34"/>
      <c r="CZ16" s="34"/>
      <c r="DC16" s="30">
        <f>+'YTD Figures Employees'!Y16</f>
        <v>0</v>
      </c>
      <c r="DD16" s="30">
        <f>+'YTD Figures Employees'!Z16</f>
        <v>0</v>
      </c>
      <c r="DI16" s="31">
        <f t="shared" si="41"/>
        <v>157336.9</v>
      </c>
      <c r="DJ16" s="31">
        <f t="shared" si="42"/>
        <v>33002.1</v>
      </c>
      <c r="DL16" s="61">
        <f t="shared" si="7"/>
        <v>0.20975435514491514</v>
      </c>
      <c r="DM16" s="35">
        <f t="shared" si="51"/>
        <v>0.29136462962962961</v>
      </c>
      <c r="DN16" s="30">
        <f t="shared" si="43"/>
        <v>540000</v>
      </c>
      <c r="DO16" s="35">
        <f t="shared" si="8"/>
        <v>6.1114999999999996E-2</v>
      </c>
      <c r="DP16" s="35">
        <f t="shared" si="9"/>
        <v>0.29136462962962961</v>
      </c>
      <c r="DR16" s="30">
        <f>+'Salaries &amp; Budgets'!K22</f>
        <v>594000</v>
      </c>
      <c r="DS16" s="30">
        <f t="shared" si="44"/>
        <v>33002.1</v>
      </c>
      <c r="DT16" s="30">
        <f t="shared" si="45"/>
        <v>560997.9</v>
      </c>
    </row>
    <row r="17" spans="2:164">
      <c r="B17" s="1" t="s">
        <v>45</v>
      </c>
      <c r="C17" s="7">
        <f>+'Firm Budget YE 2026'!C24</f>
        <v>1243636.3636363638</v>
      </c>
      <c r="E17" s="7"/>
      <c r="F17" s="5">
        <v>0</v>
      </c>
      <c r="G17" s="5"/>
      <c r="H17" s="31"/>
      <c r="I17" s="5">
        <v>0</v>
      </c>
      <c r="J17" s="30">
        <f t="shared" si="11"/>
        <v>0</v>
      </c>
      <c r="K17" s="21"/>
      <c r="L17" s="21"/>
      <c r="M17" s="21"/>
      <c r="N17" s="21"/>
      <c r="P17" s="30">
        <f t="shared" si="12"/>
        <v>93272.727272727279</v>
      </c>
      <c r="Q17" s="31">
        <f>+'YTD Figures Employees'!E17</f>
        <v>123559.51</v>
      </c>
      <c r="R17" s="31"/>
      <c r="S17" s="31"/>
      <c r="T17" s="31">
        <f>+'YTD Figures Employees'!F17</f>
        <v>0</v>
      </c>
      <c r="U17" s="30">
        <f t="shared" si="14"/>
        <v>30286.782727272715</v>
      </c>
      <c r="V17" s="34"/>
      <c r="W17" s="34"/>
      <c r="Y17" s="30">
        <f t="shared" si="15"/>
        <v>93272.727272727279</v>
      </c>
      <c r="Z17" s="31">
        <f>+'May''25 Billing'!T55</f>
        <v>69855.83</v>
      </c>
      <c r="AA17" s="31"/>
      <c r="AB17" s="31"/>
      <c r="AC17" s="30">
        <f>+'YTD Figures Employees'!H17</f>
        <v>37531.199999999997</v>
      </c>
      <c r="AD17" s="30">
        <f t="shared" si="16"/>
        <v>-23416.897272727278</v>
      </c>
      <c r="AE17" s="34"/>
      <c r="AF17" s="34"/>
      <c r="AH17" s="30">
        <f>+C17*0.09</f>
        <v>111927.27272727274</v>
      </c>
      <c r="AI17" s="30">
        <f>+'YTD Figures Employees'!I17</f>
        <v>0</v>
      </c>
      <c r="AL17" s="30">
        <f>+'YTD Figures Employees'!J17</f>
        <v>0</v>
      </c>
      <c r="AM17" s="30">
        <f t="shared" si="52"/>
        <v>-111927.27272727274</v>
      </c>
      <c r="AN17" s="34"/>
      <c r="AO17" s="34"/>
      <c r="AQ17" s="30">
        <f>+C17*0.09</f>
        <v>111927.27272727274</v>
      </c>
      <c r="AR17" s="30">
        <f>+'YTD Figures Employees'!K17</f>
        <v>0</v>
      </c>
      <c r="AS17" s="5"/>
      <c r="AT17" s="31"/>
      <c r="AU17" s="30">
        <f>+'YTD Figures Employees'!L17</f>
        <v>0</v>
      </c>
      <c r="AV17" s="30">
        <f t="shared" si="23"/>
        <v>-111927.27272727274</v>
      </c>
      <c r="AW17" s="34"/>
      <c r="AX17" s="34"/>
      <c r="AZ17" s="30">
        <f t="shared" si="24"/>
        <v>111927.27272727274</v>
      </c>
      <c r="BA17" s="30">
        <f>+'YTD Figures Employees'!M17</f>
        <v>0</v>
      </c>
      <c r="BB17" s="5"/>
      <c r="BC17" s="31"/>
      <c r="BD17" s="30">
        <f>+'YTD Figures Employees'!N17</f>
        <v>0</v>
      </c>
      <c r="BE17" s="30">
        <f t="shared" si="27"/>
        <v>-111927.27272727274</v>
      </c>
      <c r="BF17" s="34"/>
      <c r="BG17" s="34"/>
      <c r="BI17" s="30">
        <f>+C17*0.1</f>
        <v>124363.63636363638</v>
      </c>
      <c r="BJ17" s="30">
        <f>+'YTD Figures Employees'!O17</f>
        <v>0</v>
      </c>
      <c r="BK17" s="5"/>
      <c r="BL17" s="31"/>
      <c r="BM17" s="30">
        <f>+'YTD Figures Employees'!P17</f>
        <v>0</v>
      </c>
      <c r="BN17" s="30">
        <f t="shared" si="31"/>
        <v>-124363.63636363638</v>
      </c>
      <c r="BO17" s="34"/>
      <c r="BP17" s="34"/>
      <c r="BR17" s="30">
        <f>+C17*0.12</f>
        <v>149236.36363636365</v>
      </c>
      <c r="BS17" s="30">
        <f>+'YTD Figures Employees'!Q17</f>
        <v>0</v>
      </c>
      <c r="BT17" s="5"/>
      <c r="BU17" s="31"/>
      <c r="BV17" s="30">
        <f>+'YTD Figures Employees'!R17</f>
        <v>0</v>
      </c>
      <c r="BW17" s="30">
        <f t="shared" si="2"/>
        <v>-149236.36363636365</v>
      </c>
      <c r="BX17" s="34"/>
      <c r="BY17" s="34"/>
      <c r="CA17" s="30">
        <f>+C17*0.12</f>
        <v>149236.36363636365</v>
      </c>
      <c r="CB17" s="30">
        <f>+'YTD Figures Employees'!S17</f>
        <v>0</v>
      </c>
      <c r="CC17" s="5"/>
      <c r="CD17" s="31"/>
      <c r="CE17" s="30">
        <f>+'YTD Figures Employees'!T17</f>
        <v>0</v>
      </c>
      <c r="CF17" s="30">
        <f t="shared" si="48"/>
        <v>-149236.36363636365</v>
      </c>
      <c r="CG17" s="34"/>
      <c r="CH17" s="34"/>
      <c r="CJ17" s="30">
        <f>+C17*0.05</f>
        <v>62181.818181818191</v>
      </c>
      <c r="CK17" s="30">
        <f>+'YTD Figures Employees'!U17</f>
        <v>0</v>
      </c>
      <c r="CL17" s="5"/>
      <c r="CM17" s="31"/>
      <c r="CN17" s="30">
        <f>+'YTD Figures Employees'!V17</f>
        <v>0</v>
      </c>
      <c r="CO17" s="30">
        <f t="shared" si="36"/>
        <v>-62181.818181818191</v>
      </c>
      <c r="CP17" s="34"/>
      <c r="CQ17" s="34"/>
      <c r="CS17" s="30">
        <f>+C17*0.04</f>
        <v>49745.454545454551</v>
      </c>
      <c r="CT17" s="30">
        <f>+'YTD Figures Employees'!W17</f>
        <v>0</v>
      </c>
      <c r="CU17" s="5"/>
      <c r="CV17" s="31"/>
      <c r="CW17" s="31">
        <f>+'YTD Figures Employees'!X17</f>
        <v>0</v>
      </c>
      <c r="CX17" s="30">
        <f t="shared" si="40"/>
        <v>-49745.454545454551</v>
      </c>
      <c r="CY17" s="34"/>
      <c r="CZ17" s="34"/>
      <c r="DC17" s="30">
        <f>+'YTD Figures Employees'!Y17</f>
        <v>0</v>
      </c>
      <c r="DD17" s="30">
        <f>+'YTD Figures Employees'!Z17</f>
        <v>0</v>
      </c>
      <c r="DI17" s="31">
        <f t="shared" si="41"/>
        <v>193415.34</v>
      </c>
      <c r="DJ17" s="31">
        <f t="shared" si="42"/>
        <v>37531.199999999997</v>
      </c>
      <c r="DL17" s="61">
        <f t="shared" si="7"/>
        <v>0.19404458819036793</v>
      </c>
      <c r="DM17" s="35">
        <f t="shared" si="51"/>
        <v>0.15552403070175436</v>
      </c>
      <c r="DN17" s="30">
        <f t="shared" si="43"/>
        <v>1057090.9090909092</v>
      </c>
      <c r="DO17" s="35">
        <f t="shared" si="8"/>
        <v>3.5504231166150667E-2</v>
      </c>
      <c r="DP17" s="35">
        <f t="shared" si="9"/>
        <v>0.18296944788441691</v>
      </c>
      <c r="DR17" s="30">
        <f>+'Salaries &amp; Budgets'!K23</f>
        <v>1504800</v>
      </c>
      <c r="DS17" s="30">
        <f t="shared" si="44"/>
        <v>37531.199999999997</v>
      </c>
      <c r="DT17" s="30">
        <f t="shared" si="45"/>
        <v>1467268.8</v>
      </c>
    </row>
    <row r="18" spans="2:164">
      <c r="B18" s="1" t="s">
        <v>46</v>
      </c>
      <c r="C18" s="7">
        <f>+'Firm Budget YE 2026'!C25</f>
        <v>916363.63636363635</v>
      </c>
      <c r="E18" s="1">
        <v>0</v>
      </c>
      <c r="F18" s="1">
        <v>0</v>
      </c>
      <c r="I18" s="1">
        <v>0</v>
      </c>
      <c r="J18" s="1">
        <v>0</v>
      </c>
      <c r="K18" s="21"/>
      <c r="L18" s="21"/>
      <c r="M18" s="21"/>
      <c r="N18" s="21"/>
      <c r="P18" s="30">
        <v>0</v>
      </c>
      <c r="Q18" s="31">
        <v>0</v>
      </c>
      <c r="R18" s="31"/>
      <c r="S18" s="31"/>
      <c r="T18" s="31">
        <v>0</v>
      </c>
      <c r="U18" s="30">
        <v>0</v>
      </c>
      <c r="V18" s="34"/>
      <c r="W18" s="34"/>
      <c r="Y18" s="30">
        <v>0</v>
      </c>
      <c r="Z18" s="31">
        <v>0</v>
      </c>
      <c r="AA18" s="31"/>
      <c r="AB18" s="31"/>
      <c r="AC18" s="30">
        <v>0</v>
      </c>
      <c r="AE18" s="34"/>
      <c r="AF18" s="34"/>
      <c r="AH18" s="30">
        <f>+C18*0.09</f>
        <v>82472.727272727265</v>
      </c>
      <c r="AI18" s="30">
        <f>+'June ''25 Billing'!H52</f>
        <v>0</v>
      </c>
      <c r="AL18" s="30">
        <f>+'Jun''25 Receipting'!N31/2</f>
        <v>0</v>
      </c>
      <c r="AN18" s="34"/>
      <c r="AO18" s="34"/>
      <c r="AQ18" s="30">
        <f>+C18*0.09</f>
        <v>82472.727272727265</v>
      </c>
      <c r="AR18" s="30">
        <f>+'July 2025 Billing'!H52</f>
        <v>0</v>
      </c>
      <c r="AU18" s="36">
        <f>+'July 2025 Receipting'!N41/2</f>
        <v>0</v>
      </c>
      <c r="AW18" s="34"/>
      <c r="AX18" s="34"/>
      <c r="BA18" s="30">
        <f>+'August 25 Billing'!H48</f>
        <v>0</v>
      </c>
      <c r="BD18" s="30">
        <f>+'August ''25 Receipting'!N40/2</f>
        <v>0</v>
      </c>
      <c r="BF18" s="34"/>
      <c r="BG18" s="34"/>
      <c r="BJ18" s="30">
        <f>+'September ''25 Billing'!H50</f>
        <v>0</v>
      </c>
      <c r="BM18" s="30">
        <f>+'September ''25 Receipting'!N42/2</f>
        <v>0</v>
      </c>
      <c r="BO18" s="34"/>
      <c r="BP18" s="34"/>
      <c r="BS18" s="30">
        <f>+'October ''25 Billing'!H51</f>
        <v>0</v>
      </c>
      <c r="BV18" s="30">
        <f>+'October ''25 Receipting'!N40/2</f>
        <v>0</v>
      </c>
      <c r="BX18" s="34"/>
      <c r="BY18" s="34"/>
      <c r="CB18" s="31">
        <f>+'November ''25 Billing'!H51</f>
        <v>0</v>
      </c>
      <c r="CE18" s="30">
        <f>+'November ''25Receipting'!N54/2</f>
        <v>0</v>
      </c>
      <c r="CG18" s="34"/>
      <c r="CH18" s="34"/>
      <c r="CK18" s="30">
        <f>+'December ''25 Billing '!H50</f>
        <v>0</v>
      </c>
      <c r="CN18" s="30">
        <f>+'December Receipting'!N24/2</f>
        <v>0</v>
      </c>
      <c r="CP18" s="34"/>
      <c r="CQ18" s="34"/>
      <c r="CT18" s="30">
        <f>+'January Billing'!H50</f>
        <v>0</v>
      </c>
      <c r="CW18" s="31">
        <f>+'January Receipting'!N24/2</f>
        <v>0</v>
      </c>
      <c r="CY18" s="34"/>
      <c r="CZ18" s="34"/>
      <c r="DC18" s="30">
        <f>+'February Billing'!H50</f>
        <v>0</v>
      </c>
      <c r="DD18" s="30">
        <f>+'February Receipting'!N24/2</f>
        <v>0</v>
      </c>
      <c r="DI18" s="31">
        <f>F24+Q18+Z18+AI18+AR18+BA18+BJ18+BS18+CB18+CK18+CT18+DC18</f>
        <v>996681.69000000006</v>
      </c>
      <c r="DJ18" s="31">
        <f>I24+T18+AC18+AL18+AU18+BD18+BM18+BV18+CE18+CN18+CW18+DD18</f>
        <v>564050.4800000001</v>
      </c>
      <c r="DL18" s="61">
        <f t="shared" si="7"/>
        <v>0.56592840588854409</v>
      </c>
      <c r="DM18" s="35"/>
      <c r="DN18" s="30">
        <f>E24+P18+Y18+AH18+AQ18+AZ18+BI18+BR18</f>
        <v>164945.45454545453</v>
      </c>
      <c r="DO18" s="35"/>
      <c r="DP18" s="35"/>
    </row>
    <row r="19" spans="2:164">
      <c r="C19" s="7"/>
      <c r="E19" s="7"/>
      <c r="F19" s="5">
        <v>0</v>
      </c>
      <c r="G19" s="5"/>
      <c r="H19" s="31"/>
      <c r="I19" s="5"/>
      <c r="J19" s="30"/>
      <c r="K19" s="21"/>
      <c r="L19" s="21"/>
      <c r="M19" s="21"/>
      <c r="N19" s="21"/>
      <c r="Q19" s="31"/>
      <c r="R19" s="31"/>
      <c r="S19" s="31"/>
      <c r="T19" s="31"/>
      <c r="V19" s="34"/>
      <c r="W19" s="34"/>
      <c r="Z19" s="31"/>
      <c r="AA19" s="31"/>
      <c r="AB19" s="31"/>
      <c r="AE19" s="34"/>
      <c r="AF19" s="34"/>
      <c r="AN19" s="34"/>
      <c r="AO19" s="34"/>
      <c r="AU19" s="36"/>
      <c r="AW19" s="34"/>
      <c r="AX19" s="34"/>
      <c r="BF19" s="34"/>
      <c r="BG19" s="34"/>
      <c r="BO19" s="34"/>
      <c r="BP19" s="34"/>
      <c r="BX19" s="34"/>
      <c r="BY19" s="34"/>
      <c r="CB19" s="31"/>
      <c r="CG19" s="34"/>
      <c r="CH19" s="34"/>
      <c r="CP19" s="34"/>
      <c r="CQ19" s="34"/>
      <c r="CW19" s="31"/>
      <c r="CY19" s="34"/>
      <c r="CZ19" s="34"/>
      <c r="DI19" s="31"/>
      <c r="DJ19" s="31"/>
      <c r="DL19" s="35"/>
      <c r="DM19" s="35"/>
      <c r="DN19" s="30">
        <f t="shared" ref="DN19" si="54">E19+P19+Y19+AH19+AQ19+AZ19+BI19+BR19</f>
        <v>0</v>
      </c>
      <c r="DO19" s="35"/>
      <c r="DP19" s="35"/>
    </row>
    <row r="20" spans="2:164">
      <c r="B20" s="1" t="s">
        <v>62</v>
      </c>
      <c r="C20" s="7">
        <f>+'Indirect Cost Budget'!C63</f>
        <v>0</v>
      </c>
      <c r="E20" s="7">
        <f t="shared" ref="E20" si="55">C20*0.15</f>
        <v>0</v>
      </c>
      <c r="F20" s="5"/>
      <c r="G20" s="5"/>
      <c r="H20" s="31"/>
      <c r="I20" s="5"/>
      <c r="J20" s="30"/>
      <c r="K20" s="7"/>
      <c r="L20" s="7"/>
      <c r="M20" s="7"/>
      <c r="N20" s="7"/>
      <c r="Q20" s="31"/>
      <c r="R20" s="31"/>
      <c r="S20" s="31"/>
      <c r="T20" s="31"/>
      <c r="V20" s="34"/>
      <c r="W20" s="34"/>
      <c r="Z20" s="31"/>
      <c r="AA20" s="31"/>
      <c r="AB20" s="31"/>
      <c r="CA20" s="30">
        <f t="shared" si="47"/>
        <v>0</v>
      </c>
      <c r="CW20" s="31"/>
      <c r="DI20" s="31"/>
      <c r="DJ20" s="31"/>
      <c r="DL20" s="35"/>
      <c r="DM20" s="35"/>
      <c r="DO20" s="35"/>
      <c r="DP20" s="35"/>
    </row>
    <row r="21" spans="2:164">
      <c r="H21" s="30"/>
      <c r="J21" s="30"/>
    </row>
    <row r="22" spans="2:164" ht="12" thickBot="1">
      <c r="B22" s="1" t="s">
        <v>48</v>
      </c>
      <c r="C22" s="8">
        <f>SUM(C7:C20)</f>
        <v>29136000</v>
      </c>
      <c r="E22" s="8">
        <f t="shared" ref="E22:J22" si="56">SUM(E7:E20)</f>
        <v>4046400</v>
      </c>
      <c r="F22" s="8">
        <f t="shared" si="56"/>
        <v>4691236.4700000007</v>
      </c>
      <c r="G22" s="8">
        <f t="shared" si="56"/>
        <v>0</v>
      </c>
      <c r="H22" s="32">
        <f t="shared" si="56"/>
        <v>0</v>
      </c>
      <c r="I22" s="8">
        <f t="shared" si="56"/>
        <v>2330465.92</v>
      </c>
      <c r="J22" s="32">
        <f t="shared" si="56"/>
        <v>644836.47000000009</v>
      </c>
      <c r="K22" s="7"/>
      <c r="L22" s="7"/>
      <c r="M22" s="7"/>
      <c r="N22" s="7"/>
      <c r="P22" s="32">
        <f t="shared" ref="P22:U22" si="57">SUM(P7:P20)</f>
        <v>2116472.7272727271</v>
      </c>
      <c r="Q22" s="32">
        <f t="shared" si="57"/>
        <v>2554223.6</v>
      </c>
      <c r="R22" s="32">
        <f t="shared" si="57"/>
        <v>1076953.69</v>
      </c>
      <c r="S22" s="32">
        <f t="shared" si="57"/>
        <v>0</v>
      </c>
      <c r="T22" s="32">
        <f t="shared" si="57"/>
        <v>2173326.31</v>
      </c>
      <c r="U22" s="32">
        <f t="shared" si="57"/>
        <v>437750.8727272728</v>
      </c>
      <c r="Y22" s="32">
        <f t="shared" ref="Y22:AD22" si="58">SUM(Y7:Y20)</f>
        <v>2074043.7272727273</v>
      </c>
      <c r="Z22" s="32">
        <f t="shared" si="58"/>
        <v>1646077.7</v>
      </c>
      <c r="AA22" s="32">
        <f t="shared" si="58"/>
        <v>552262.14</v>
      </c>
      <c r="AB22" s="32">
        <f t="shared" si="58"/>
        <v>151566.85</v>
      </c>
      <c r="AC22" s="32">
        <f t="shared" si="58"/>
        <v>2008387.8800000004</v>
      </c>
      <c r="AD22" s="32">
        <f t="shared" si="58"/>
        <v>-427966.02727272734</v>
      </c>
      <c r="AH22" s="32">
        <f>SUM(AH7:AH20)</f>
        <v>2550960</v>
      </c>
      <c r="AI22" s="32">
        <f>SUM(AI7:AI20)</f>
        <v>0</v>
      </c>
      <c r="AJ22" s="32"/>
      <c r="AK22" s="32"/>
      <c r="AL22" s="32">
        <f>SUM(AL7:AL20)</f>
        <v>0</v>
      </c>
      <c r="AM22" s="32">
        <f>SUM(AM7:AM20)</f>
        <v>-2468487.2727272729</v>
      </c>
      <c r="AQ22" s="32">
        <f>SUM(AQ7:AQ20)</f>
        <v>2550960</v>
      </c>
      <c r="AR22" s="32">
        <f>SUM(AR7:AR20)</f>
        <v>0</v>
      </c>
      <c r="AS22" s="32"/>
      <c r="AT22" s="32"/>
      <c r="AU22" s="32">
        <f>SUM(AU7:AU20)</f>
        <v>0</v>
      </c>
      <c r="AV22" s="32">
        <f>SUM(AV7:AV20)</f>
        <v>-2468487.2727272729</v>
      </c>
      <c r="AZ22" s="32">
        <f>SUM(AZ7:AZ20)</f>
        <v>2539767.2727272729</v>
      </c>
      <c r="BA22" s="32">
        <f>SUM(BA7:BA20)</f>
        <v>0</v>
      </c>
      <c r="BB22" s="32"/>
      <c r="BC22" s="32"/>
      <c r="BD22" s="32">
        <f>SUM(BD7:BD20)</f>
        <v>0</v>
      </c>
      <c r="BE22" s="32">
        <f>SUM(BE7:BE20)</f>
        <v>-2539767.2727272729</v>
      </c>
      <c r="BI22" s="32">
        <f t="shared" ref="BI22:BN22" si="59">SUM(BI7:BI20)</f>
        <v>2742763.6363636362</v>
      </c>
      <c r="BJ22" s="32">
        <f t="shared" si="59"/>
        <v>0</v>
      </c>
      <c r="BK22" s="32">
        <f t="shared" si="59"/>
        <v>0</v>
      </c>
      <c r="BL22" s="32">
        <f t="shared" si="59"/>
        <v>0</v>
      </c>
      <c r="BM22" s="32">
        <f t="shared" si="59"/>
        <v>0</v>
      </c>
      <c r="BN22" s="32">
        <f t="shared" si="59"/>
        <v>-2742763.6363636362</v>
      </c>
      <c r="BR22" s="32">
        <f t="shared" ref="BR22:BW22" si="60">SUM(BR7:BR20)</f>
        <v>3291316.3636363638</v>
      </c>
      <c r="BS22" s="32">
        <f t="shared" si="60"/>
        <v>0</v>
      </c>
      <c r="BT22" s="32">
        <f t="shared" si="60"/>
        <v>0</v>
      </c>
      <c r="BU22" s="32">
        <f t="shared" si="60"/>
        <v>0</v>
      </c>
      <c r="BV22" s="32">
        <f t="shared" si="60"/>
        <v>0</v>
      </c>
      <c r="BW22" s="32">
        <f t="shared" si="60"/>
        <v>-3291316.3636363638</v>
      </c>
      <c r="CA22" s="32">
        <f>SUM(CA7:CA20)</f>
        <v>3386356.3636363638</v>
      </c>
      <c r="CB22" s="32">
        <f>SUM(CB7:CB20)</f>
        <v>0</v>
      </c>
      <c r="CC22" s="32">
        <f t="shared" ref="CC22:CD22" si="61">SUM(CC7:CC20)</f>
        <v>0</v>
      </c>
      <c r="CD22" s="32">
        <f t="shared" si="61"/>
        <v>0</v>
      </c>
      <c r="CE22" s="32">
        <f>SUM(CE7:CE20)</f>
        <v>0</v>
      </c>
      <c r="CF22" s="32">
        <f>SUM(CF7:CF20)</f>
        <v>-3386356.3636363638</v>
      </c>
      <c r="CJ22" s="32">
        <f>SUM(CJ7:CJ20)</f>
        <v>1410981.8181818181</v>
      </c>
      <c r="CK22" s="32">
        <f>SUM(CK7:CK20)</f>
        <v>0</v>
      </c>
      <c r="CL22" s="32"/>
      <c r="CM22" s="32"/>
      <c r="CN22" s="32">
        <f>SUM(CN7:CN20)</f>
        <v>0</v>
      </c>
      <c r="CO22" s="32">
        <f>SUM(CO7:CO20)</f>
        <v>-1410981.8181818181</v>
      </c>
      <c r="CS22" s="32">
        <f>SUM(CS7:CS20)</f>
        <v>1128785.4545454546</v>
      </c>
      <c r="CT22" s="32">
        <f>SUM(CT7:CT20)</f>
        <v>0</v>
      </c>
      <c r="CU22" s="32"/>
      <c r="CV22" s="32"/>
      <c r="CW22" s="32">
        <f>SUM(CW7:CW20)</f>
        <v>0</v>
      </c>
      <c r="CX22" s="32">
        <f>SUM(CX7:CX20)</f>
        <v>-1128785.4545454546</v>
      </c>
      <c r="DB22" s="32">
        <f>SUM(DB7:DB20)</f>
        <v>0</v>
      </c>
      <c r="DC22" s="32">
        <f>SUM(DC7:DC20)</f>
        <v>0</v>
      </c>
      <c r="DD22" s="32">
        <f>SUM(DD7:DD20)</f>
        <v>0</v>
      </c>
      <c r="DE22" s="32">
        <f>SUM(DE7:DE20)</f>
        <v>0</v>
      </c>
      <c r="DI22" s="32">
        <f>SUM(DI7:DI20)</f>
        <v>9888219.4600000009</v>
      </c>
      <c r="DJ22" s="32">
        <f>SUM(DJ7:DJ20)</f>
        <v>7076230.5900000008</v>
      </c>
      <c r="DN22" s="32">
        <f>SUM(DN7:DN20)</f>
        <v>27838807.363636363</v>
      </c>
      <c r="DR22" s="32">
        <f>SUM(DR7:DR20)</f>
        <v>31178400</v>
      </c>
      <c r="DS22" s="32">
        <f t="shared" ref="DS22:DT22" si="62">SUM(DS7:DS20)</f>
        <v>6512180.1100000003</v>
      </c>
      <c r="DT22" s="32">
        <f t="shared" si="62"/>
        <v>24666219.889999997</v>
      </c>
    </row>
    <row r="23" spans="2:164" ht="12" thickTop="1">
      <c r="J23" s="30"/>
    </row>
    <row r="24" spans="2:164">
      <c r="B24" s="1" t="s">
        <v>102</v>
      </c>
      <c r="C24" s="65">
        <f>+'May''25 Billing'!H55</f>
        <v>355714.47</v>
      </c>
      <c r="E24" s="7"/>
      <c r="F24" s="63">
        <f>+'Mar''25 Billing'!H78</f>
        <v>996681.69000000006</v>
      </c>
      <c r="G24" s="5"/>
      <c r="H24" s="5"/>
      <c r="I24" s="5">
        <f>+'Mar''25 Receipting'!N106/2</f>
        <v>564050.4800000001</v>
      </c>
      <c r="J24" s="30"/>
      <c r="Q24" s="30">
        <f>+'Apr''25 Billing'!H53</f>
        <v>718100.34499999997</v>
      </c>
      <c r="T24" s="30">
        <f>+'Apr''25 Receipting'!N29/2</f>
        <v>381805.35000000003</v>
      </c>
    </row>
    <row r="25" spans="2:164">
      <c r="B25" s="1" t="s">
        <v>102</v>
      </c>
      <c r="C25" s="65">
        <f>+'May''25 Billing'!W55/2</f>
        <v>93500</v>
      </c>
      <c r="D25" s="56"/>
      <c r="E25" s="57"/>
      <c r="F25" s="7">
        <f>+'Mar''25 Billing'!V78/2</f>
        <v>139750</v>
      </c>
      <c r="G25" s="7"/>
      <c r="H25" s="7"/>
      <c r="I25" s="7">
        <f>+'Mar''25 Receipting'!AA56/2</f>
        <v>21000</v>
      </c>
      <c r="J25" s="56"/>
      <c r="K25" s="56"/>
      <c r="L25" s="56"/>
      <c r="M25" s="56"/>
      <c r="N25" s="56"/>
      <c r="O25" s="56"/>
      <c r="P25" s="1"/>
      <c r="Q25" s="56">
        <f>+'Apr''25 Billing'!W53/2</f>
        <v>4000</v>
      </c>
      <c r="R25" s="56"/>
      <c r="S25" s="56"/>
      <c r="T25" s="56">
        <f>+'Apr''25 Receipting'!AA26/2</f>
        <v>8250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>
        <f>+DN22-E25</f>
        <v>27838807.363636363</v>
      </c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</row>
    <row r="26" spans="2:164">
      <c r="B26" s="1" t="s">
        <v>103</v>
      </c>
      <c r="C26" s="56">
        <f>+'May''25 Billing'!U55</f>
        <v>177870</v>
      </c>
      <c r="D26" s="56"/>
      <c r="E26" s="56"/>
      <c r="F26" s="56">
        <v>0</v>
      </c>
      <c r="G26" s="56"/>
      <c r="H26" s="56"/>
      <c r="I26" s="56">
        <v>0</v>
      </c>
      <c r="J26" s="56"/>
      <c r="K26" s="56"/>
      <c r="L26" s="56"/>
      <c r="M26" s="56"/>
      <c r="N26" s="56"/>
      <c r="O26" s="56"/>
      <c r="P26" s="1" t="s">
        <v>104</v>
      </c>
      <c r="Q26" s="56">
        <f>+'Apr''25 Billing'!U53</f>
        <v>117150</v>
      </c>
      <c r="R26" s="56"/>
      <c r="S26" s="56"/>
      <c r="T26" s="56">
        <f>+'Apr''25 Receipting'!Y29</f>
        <v>38500</v>
      </c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</row>
    <row r="27" spans="2:164">
      <c r="B27" s="1" t="s">
        <v>105</v>
      </c>
      <c r="C27" s="56">
        <v>0</v>
      </c>
      <c r="D27" s="56"/>
      <c r="E27" s="56"/>
      <c r="F27" s="56">
        <v>0</v>
      </c>
      <c r="G27" s="56"/>
      <c r="H27" s="56"/>
      <c r="I27" s="56">
        <v>0</v>
      </c>
      <c r="J27" s="56"/>
      <c r="K27" s="56"/>
      <c r="L27" s="56"/>
      <c r="M27" s="56"/>
      <c r="N27" s="56"/>
      <c r="O27" s="56"/>
      <c r="P27" s="1" t="s">
        <v>106</v>
      </c>
      <c r="Q27" s="56">
        <f>+'Apr''25 Billing'!V53</f>
        <v>22000</v>
      </c>
      <c r="R27" s="56"/>
      <c r="S27" s="56"/>
      <c r="T27" s="56">
        <v>0</v>
      </c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</row>
    <row r="28" spans="2:164" ht="12" thickBot="1">
      <c r="C28" s="59">
        <f>SUM(C24:C27)</f>
        <v>627084.47</v>
      </c>
      <c r="D28" s="56"/>
      <c r="E28" s="56"/>
      <c r="F28" s="59">
        <f>+F24+F25+F26+F27</f>
        <v>1136431.69</v>
      </c>
      <c r="G28" s="56"/>
      <c r="H28" s="56"/>
      <c r="I28" s="59">
        <f>+I24+I25+I26+I27</f>
        <v>585050.4800000001</v>
      </c>
      <c r="J28" s="56"/>
      <c r="K28" s="56"/>
      <c r="L28" s="56"/>
      <c r="M28" s="56"/>
      <c r="N28" s="56"/>
      <c r="O28" s="56"/>
      <c r="P28" s="1"/>
      <c r="Q28" s="59">
        <f>SUM(Q24:Q27)</f>
        <v>861250.34499999997</v>
      </c>
      <c r="R28" s="56"/>
      <c r="S28" s="56"/>
      <c r="T28" s="59">
        <f>SUM(T24:T27)</f>
        <v>428555.35000000003</v>
      </c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</row>
    <row r="29" spans="2:164" ht="12" thickTop="1"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</row>
  </sheetData>
  <mergeCells count="15">
    <mergeCell ref="DR4:DT4"/>
    <mergeCell ref="DI4:DJ4"/>
    <mergeCell ref="DL4:DP4"/>
    <mergeCell ref="CA4:CH4"/>
    <mergeCell ref="CJ4:CQ4"/>
    <mergeCell ref="CS4:CZ4"/>
    <mergeCell ref="DB4:DG4"/>
    <mergeCell ref="E4:N4"/>
    <mergeCell ref="BI4:BP4"/>
    <mergeCell ref="BR4:BY4"/>
    <mergeCell ref="AZ4:BG4"/>
    <mergeCell ref="AQ4:AX4"/>
    <mergeCell ref="P4:W4"/>
    <mergeCell ref="Y4:AF4"/>
    <mergeCell ref="AH4:AO4"/>
  </mergeCells>
  <pageMargins left="0.7" right="0.7" top="0.75" bottom="0.75" header="0.3" footer="0.3"/>
  <pageSetup paperSize="9" scale="1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8109-5F7D-4B64-ADF3-782F226A395D}">
  <sheetPr>
    <pageSetUpPr fitToPage="1"/>
  </sheetPr>
  <dimension ref="B2:AG25"/>
  <sheetViews>
    <sheetView zoomScale="80" zoomScaleNormal="80" workbookViewId="0">
      <pane xSplit="11" ySplit="4" topLeftCell="AC5" activePane="bottomRight" state="frozen"/>
      <selection pane="bottomRight" activeCell="AE1" sqref="AE1:AE1048576"/>
      <selection pane="bottomLeft" activeCell="A5" sqref="A5"/>
      <selection pane="topRight" activeCell="L1" sqref="L1"/>
    </sheetView>
  </sheetViews>
  <sheetFormatPr defaultColWidth="8.7109375" defaultRowHeight="11.25"/>
  <cols>
    <col min="1" max="1" width="8.7109375" style="1"/>
    <col min="2" max="2" width="24.855468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42578125" style="1" bestFit="1" customWidth="1"/>
    <col min="7" max="7" width="10.2851562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10.85546875" style="1" customWidth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5" width="22.7109375" style="1" bestFit="1" customWidth="1"/>
    <col min="26" max="28" width="18.5703125" style="1" customWidth="1"/>
    <col min="29" max="29" width="16.28515625" style="1" bestFit="1" customWidth="1"/>
    <col min="30" max="30" width="34.85546875" style="1" bestFit="1" customWidth="1"/>
    <col min="31" max="31" width="16.7109375" style="1" bestFit="1" customWidth="1"/>
    <col min="32" max="32" width="8.7109375" style="1"/>
    <col min="33" max="33" width="10.140625" style="1" bestFit="1" customWidth="1"/>
    <col min="34" max="16384" width="8.7109375" style="1"/>
  </cols>
  <sheetData>
    <row r="2" spans="2:33" ht="15.75">
      <c r="B2" s="2" t="s">
        <v>672</v>
      </c>
    </row>
    <row r="3" spans="2:33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3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45</v>
      </c>
      <c r="Z4" s="4" t="s">
        <v>180</v>
      </c>
      <c r="AA4" s="4" t="s">
        <v>450</v>
      </c>
      <c r="AB4" s="4" t="s">
        <v>201</v>
      </c>
      <c r="AC4" s="4" t="s">
        <v>202</v>
      </c>
      <c r="AD4" s="4" t="s">
        <v>203</v>
      </c>
      <c r="AE4" s="4" t="s">
        <v>204</v>
      </c>
      <c r="AG4" s="25" t="s">
        <v>63</v>
      </c>
    </row>
    <row r="5" spans="2:33">
      <c r="C5" s="6"/>
      <c r="G5" s="5">
        <f t="shared" ref="G5:G21" si="0">F5*15/115</f>
        <v>0</v>
      </c>
      <c r="H5" s="5">
        <f t="shared" ref="H5:H22" si="1">F5-G5</f>
        <v>0</v>
      </c>
      <c r="J5" s="53"/>
      <c r="K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f t="shared" ref="AE5:AE21" si="2">SUM(N5:AD5)</f>
        <v>0</v>
      </c>
      <c r="AG5" s="5">
        <f t="shared" ref="AG5:AG22" si="3">+AE5-H5</f>
        <v>0</v>
      </c>
    </row>
    <row r="6" spans="2:33">
      <c r="C6" s="6"/>
      <c r="F6" s="19"/>
      <c r="G6" s="5">
        <f t="shared" si="0"/>
        <v>0</v>
      </c>
      <c r="H6" s="5">
        <f t="shared" si="1"/>
        <v>0</v>
      </c>
      <c r="J6" s="6"/>
      <c r="K6" s="5"/>
      <c r="L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f t="shared" si="2"/>
        <v>0</v>
      </c>
      <c r="AF6" s="5"/>
      <c r="AG6" s="5">
        <f t="shared" si="3"/>
        <v>0</v>
      </c>
    </row>
    <row r="7" spans="2:33">
      <c r="C7" s="6"/>
      <c r="F7" s="19"/>
      <c r="G7" s="5">
        <f t="shared" si="0"/>
        <v>0</v>
      </c>
      <c r="H7" s="5">
        <f t="shared" si="1"/>
        <v>0</v>
      </c>
      <c r="J7" s="6"/>
      <c r="K7" s="5"/>
      <c r="L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>
        <f t="shared" si="2"/>
        <v>0</v>
      </c>
      <c r="AF7" s="5"/>
      <c r="AG7" s="5">
        <f t="shared" si="3"/>
        <v>0</v>
      </c>
    </row>
    <row r="8" spans="2:33">
      <c r="C8" s="6"/>
      <c r="F8" s="19"/>
      <c r="G8" s="5">
        <f t="shared" si="0"/>
        <v>0</v>
      </c>
      <c r="H8" s="5">
        <f t="shared" si="1"/>
        <v>0</v>
      </c>
      <c r="J8" s="6"/>
      <c r="K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f t="shared" si="2"/>
        <v>0</v>
      </c>
      <c r="AF8" s="5"/>
      <c r="AG8" s="5">
        <f t="shared" si="3"/>
        <v>0</v>
      </c>
    </row>
    <row r="9" spans="2:33">
      <c r="C9" s="6"/>
      <c r="F9" s="19"/>
      <c r="G9" s="5">
        <f t="shared" si="0"/>
        <v>0</v>
      </c>
      <c r="H9" s="5">
        <f t="shared" si="1"/>
        <v>0</v>
      </c>
      <c r="J9" s="6"/>
      <c r="K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f t="shared" si="2"/>
        <v>0</v>
      </c>
      <c r="AF9" s="5"/>
      <c r="AG9" s="5">
        <f t="shared" si="3"/>
        <v>0</v>
      </c>
    </row>
    <row r="10" spans="2:33">
      <c r="C10" s="6"/>
      <c r="F10" s="19"/>
      <c r="G10" s="5">
        <f t="shared" si="0"/>
        <v>0</v>
      </c>
      <c r="H10" s="5">
        <f t="shared" si="1"/>
        <v>0</v>
      </c>
      <c r="J10" s="6"/>
      <c r="K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f t="shared" si="2"/>
        <v>0</v>
      </c>
      <c r="AF10" s="5"/>
      <c r="AG10" s="5">
        <f t="shared" si="3"/>
        <v>0</v>
      </c>
    </row>
    <row r="11" spans="2:33">
      <c r="C11" s="6"/>
      <c r="F11" s="19"/>
      <c r="G11" s="5">
        <f t="shared" si="0"/>
        <v>0</v>
      </c>
      <c r="H11" s="5">
        <f t="shared" si="1"/>
        <v>0</v>
      </c>
      <c r="J11" s="6"/>
      <c r="K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f t="shared" si="2"/>
        <v>0</v>
      </c>
      <c r="AF11" s="5"/>
      <c r="AG11" s="5">
        <f t="shared" si="3"/>
        <v>0</v>
      </c>
    </row>
    <row r="12" spans="2:33">
      <c r="C12" s="6"/>
      <c r="F12" s="19"/>
      <c r="G12" s="5">
        <f t="shared" si="0"/>
        <v>0</v>
      </c>
      <c r="H12" s="5">
        <f t="shared" si="1"/>
        <v>0</v>
      </c>
      <c r="J12" s="6"/>
      <c r="K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f t="shared" si="2"/>
        <v>0</v>
      </c>
      <c r="AF12" s="5"/>
      <c r="AG12" s="5">
        <f t="shared" si="3"/>
        <v>0</v>
      </c>
    </row>
    <row r="13" spans="2:33">
      <c r="C13" s="6"/>
      <c r="F13" s="19"/>
      <c r="G13" s="5">
        <f t="shared" si="0"/>
        <v>0</v>
      </c>
      <c r="H13" s="5">
        <f t="shared" si="1"/>
        <v>0</v>
      </c>
      <c r="J13" s="6"/>
      <c r="K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f t="shared" si="2"/>
        <v>0</v>
      </c>
      <c r="AF13" s="5"/>
      <c r="AG13" s="5">
        <f t="shared" si="3"/>
        <v>0</v>
      </c>
    </row>
    <row r="14" spans="2:33">
      <c r="B14" s="47"/>
      <c r="C14" s="46"/>
      <c r="D14" s="47"/>
      <c r="E14" s="47"/>
      <c r="F14" s="48"/>
      <c r="G14" s="49">
        <v>0</v>
      </c>
      <c r="H14" s="49"/>
      <c r="I14" s="47"/>
      <c r="J14" s="46"/>
      <c r="K14" s="4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f t="shared" si="2"/>
        <v>0</v>
      </c>
      <c r="AF14" s="5"/>
      <c r="AG14" s="5">
        <f t="shared" si="3"/>
        <v>0</v>
      </c>
    </row>
    <row r="15" spans="2:33">
      <c r="B15" s="47"/>
      <c r="C15" s="6"/>
      <c r="F15" s="19"/>
      <c r="G15" s="5">
        <v>0</v>
      </c>
      <c r="H15" s="5">
        <f t="shared" si="1"/>
        <v>0</v>
      </c>
      <c r="J15" s="6"/>
      <c r="K15" s="5"/>
      <c r="L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f t="shared" si="2"/>
        <v>0</v>
      </c>
      <c r="AF15" s="5"/>
      <c r="AG15" s="5">
        <f t="shared" si="3"/>
        <v>0</v>
      </c>
    </row>
    <row r="16" spans="2:33">
      <c r="C16" s="6"/>
      <c r="F16" s="19"/>
      <c r="G16" s="5">
        <f t="shared" si="0"/>
        <v>0</v>
      </c>
      <c r="H16" s="5">
        <f t="shared" si="1"/>
        <v>0</v>
      </c>
      <c r="J16" s="6"/>
      <c r="K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f t="shared" si="2"/>
        <v>0</v>
      </c>
      <c r="AF16" s="5"/>
      <c r="AG16" s="5">
        <f t="shared" si="3"/>
        <v>0</v>
      </c>
    </row>
    <row r="17" spans="3:33">
      <c r="C17" s="6"/>
      <c r="F17" s="19"/>
      <c r="G17" s="5">
        <f t="shared" si="0"/>
        <v>0</v>
      </c>
      <c r="H17" s="5">
        <f t="shared" si="1"/>
        <v>0</v>
      </c>
      <c r="J17" s="6"/>
      <c r="K17" s="5"/>
      <c r="L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f t="shared" si="2"/>
        <v>0</v>
      </c>
      <c r="AF17" s="5"/>
      <c r="AG17" s="5">
        <f t="shared" si="3"/>
        <v>0</v>
      </c>
    </row>
    <row r="18" spans="3:33">
      <c r="C18" s="6"/>
      <c r="F18" s="19"/>
      <c r="G18" s="5">
        <f t="shared" si="0"/>
        <v>0</v>
      </c>
      <c r="H18" s="5">
        <f t="shared" si="1"/>
        <v>0</v>
      </c>
      <c r="J18" s="6"/>
      <c r="K18" s="5"/>
      <c r="L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f t="shared" si="2"/>
        <v>0</v>
      </c>
      <c r="AF18" s="5"/>
      <c r="AG18" s="5">
        <f t="shared" si="3"/>
        <v>0</v>
      </c>
    </row>
    <row r="19" spans="3:33">
      <c r="C19" s="6"/>
      <c r="F19" s="19"/>
      <c r="G19" s="5">
        <f t="shared" si="0"/>
        <v>0</v>
      </c>
      <c r="H19" s="5">
        <f t="shared" si="1"/>
        <v>0</v>
      </c>
      <c r="J19" s="6"/>
      <c r="K19" s="5"/>
      <c r="L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f t="shared" si="2"/>
        <v>0</v>
      </c>
      <c r="AF19" s="5"/>
      <c r="AG19" s="5">
        <f t="shared" si="3"/>
        <v>0</v>
      </c>
    </row>
    <row r="20" spans="3:33">
      <c r="C20" s="6"/>
      <c r="F20" s="19"/>
      <c r="G20" s="5">
        <f t="shared" si="0"/>
        <v>0</v>
      </c>
      <c r="H20" s="5">
        <f t="shared" si="1"/>
        <v>0</v>
      </c>
      <c r="J20" s="6"/>
      <c r="K20" s="5"/>
      <c r="L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f t="shared" si="2"/>
        <v>0</v>
      </c>
      <c r="AF20" s="5"/>
      <c r="AG20" s="5">
        <f t="shared" si="3"/>
        <v>0</v>
      </c>
    </row>
    <row r="21" spans="3:33">
      <c r="C21" s="6"/>
      <c r="F21" s="19"/>
      <c r="G21" s="5">
        <f t="shared" si="0"/>
        <v>0</v>
      </c>
      <c r="H21" s="5">
        <f t="shared" si="1"/>
        <v>0</v>
      </c>
      <c r="J21" s="6"/>
      <c r="K21" s="5"/>
      <c r="L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f t="shared" si="2"/>
        <v>0</v>
      </c>
      <c r="AF21" s="5"/>
      <c r="AG21" s="5">
        <f t="shared" si="3"/>
        <v>0</v>
      </c>
    </row>
    <row r="22" spans="3:33">
      <c r="C22" s="6"/>
      <c r="F22" s="19">
        <v>0</v>
      </c>
      <c r="G22" s="5">
        <v>0</v>
      </c>
      <c r="H22" s="5">
        <f t="shared" si="1"/>
        <v>0</v>
      </c>
      <c r="J22" s="6"/>
      <c r="K22" s="5"/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f t="shared" si="3"/>
        <v>0</v>
      </c>
    </row>
    <row r="23" spans="3:33"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3:33" ht="12" thickBot="1">
      <c r="F24" s="8">
        <f>SUM(F5:F23)</f>
        <v>0</v>
      </c>
      <c r="G24" s="8">
        <f t="shared" ref="G24:H24" si="4">SUM(G5:G23)</f>
        <v>0</v>
      </c>
      <c r="H24" s="8">
        <f t="shared" si="4"/>
        <v>0</v>
      </c>
      <c r="K24" s="8">
        <f>SUM(K5:K23)</f>
        <v>0</v>
      </c>
      <c r="N24" s="8">
        <f t="shared" ref="N24:AE24" si="5">SUM(N5:N23)</f>
        <v>0</v>
      </c>
      <c r="O24" s="8">
        <f t="shared" si="5"/>
        <v>0</v>
      </c>
      <c r="P24" s="8">
        <f t="shared" si="5"/>
        <v>0</v>
      </c>
      <c r="Q24" s="8">
        <f t="shared" si="5"/>
        <v>0</v>
      </c>
      <c r="R24" s="8">
        <f t="shared" si="5"/>
        <v>0</v>
      </c>
      <c r="S24" s="8">
        <f t="shared" si="5"/>
        <v>0</v>
      </c>
      <c r="T24" s="8">
        <f t="shared" si="5"/>
        <v>0</v>
      </c>
      <c r="U24" s="8">
        <f t="shared" si="5"/>
        <v>0</v>
      </c>
      <c r="V24" s="8">
        <f t="shared" si="5"/>
        <v>0</v>
      </c>
      <c r="W24" s="8">
        <f t="shared" si="5"/>
        <v>0</v>
      </c>
      <c r="X24" s="8">
        <f t="shared" si="5"/>
        <v>0</v>
      </c>
      <c r="Y24" s="8">
        <f t="shared" si="5"/>
        <v>0</v>
      </c>
      <c r="Z24" s="8">
        <f t="shared" si="5"/>
        <v>0</v>
      </c>
      <c r="AA24" s="8">
        <f t="shared" si="5"/>
        <v>0</v>
      </c>
      <c r="AB24" s="8">
        <f t="shared" si="5"/>
        <v>0</v>
      </c>
      <c r="AC24" s="8">
        <f t="shared" si="5"/>
        <v>0</v>
      </c>
      <c r="AD24" s="8">
        <f t="shared" si="5"/>
        <v>0</v>
      </c>
      <c r="AE24" s="8">
        <f t="shared" si="5"/>
        <v>0</v>
      </c>
      <c r="AF24" s="8">
        <f t="shared" ref="AF24:AG24" si="6">SUM(AF6:AF23)</f>
        <v>0</v>
      </c>
      <c r="AG24" s="8">
        <f t="shared" si="6"/>
        <v>0</v>
      </c>
    </row>
    <row r="25" spans="3:33" ht="12" thickTop="1"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</sheetData>
  <mergeCells count="1">
    <mergeCell ref="N3:AE3"/>
  </mergeCells>
  <pageMargins left="0.7" right="0.7" top="0.75" bottom="0.75" header="0.3" footer="0.3"/>
  <pageSetup scale="2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A982-F1EF-4754-A463-3A86FA080885}">
  <sheetPr>
    <pageSetUpPr fitToPage="1"/>
  </sheetPr>
  <dimension ref="B2:AB21"/>
  <sheetViews>
    <sheetView zoomScale="70" zoomScaleNormal="70" workbookViewId="0">
      <selection activeCell="H22" sqref="H22"/>
    </sheetView>
  </sheetViews>
  <sheetFormatPr defaultColWidth="8.85546875" defaultRowHeight="11.25" outlineLevelCol="1"/>
  <cols>
    <col min="1" max="1" width="8.85546875" style="1"/>
    <col min="2" max="2" width="27.28515625" style="1" bestFit="1" customWidth="1"/>
    <col min="3" max="6" width="17.140625" style="1" customWidth="1"/>
    <col min="7" max="7" width="15.42578125" style="1" bestFit="1" customWidth="1" outlineLevel="1"/>
    <col min="8" max="8" width="17.140625" style="1" customWidth="1" outlineLevel="1"/>
    <col min="9" max="9" width="14.140625" style="1" customWidth="1" outlineLevel="1"/>
    <col min="10" max="10" width="17.85546875" style="1" customWidth="1" outlineLevel="1"/>
    <col min="11" max="11" width="11.28515625" style="1" customWidth="1" outlineLevel="1"/>
    <col min="12" max="14" width="11.5703125" style="1" customWidth="1" outlineLevel="1"/>
    <col min="15" max="16" width="11.28515625" style="1" customWidth="1" outlineLevel="1"/>
    <col min="17" max="17" width="11.5703125" style="1" customWidth="1" outlineLevel="1"/>
    <col min="18" max="19" width="11.28515625" style="1" customWidth="1" outlineLevel="1"/>
    <col min="20" max="20" width="11.5703125" style="1" customWidth="1" outlineLevel="1"/>
    <col min="21" max="21" width="11.28515625" style="1" bestFit="1" customWidth="1" outlineLevel="1"/>
    <col min="22" max="24" width="11.5703125" style="1" bestFit="1" customWidth="1" outlineLevel="1"/>
    <col min="25" max="25" width="7.140625" style="1" customWidth="1" outlineLevel="1"/>
    <col min="26" max="26" width="11.5703125" style="1" bestFit="1" customWidth="1" outlineLevel="1"/>
    <col min="27" max="27" width="19.5703125" style="1" bestFit="1" customWidth="1"/>
    <col min="28" max="28" width="17.140625" style="1" bestFit="1" customWidth="1"/>
    <col min="29" max="16384" width="8.85546875" style="1"/>
  </cols>
  <sheetData>
    <row r="2" spans="2:28" ht="15.75">
      <c r="B2" s="2" t="s">
        <v>107</v>
      </c>
    </row>
    <row r="4" spans="2:28" ht="12">
      <c r="C4" s="73" t="s">
        <v>2</v>
      </c>
      <c r="D4" s="73"/>
      <c r="E4" s="73" t="s">
        <v>49</v>
      </c>
      <c r="F4" s="73"/>
      <c r="G4" s="73" t="s">
        <v>50</v>
      </c>
      <c r="H4" s="73"/>
      <c r="I4" s="73" t="s">
        <v>51</v>
      </c>
      <c r="J4" s="73"/>
      <c r="K4" s="73" t="s">
        <v>52</v>
      </c>
      <c r="L4" s="73"/>
      <c r="M4" s="73" t="s">
        <v>53</v>
      </c>
      <c r="N4" s="73"/>
      <c r="O4" s="73" t="s">
        <v>54</v>
      </c>
      <c r="P4" s="73"/>
      <c r="Q4" s="73" t="s">
        <v>55</v>
      </c>
      <c r="R4" s="73"/>
      <c r="S4" s="73" t="s">
        <v>56</v>
      </c>
      <c r="T4" s="73"/>
      <c r="U4" s="73" t="s">
        <v>57</v>
      </c>
      <c r="V4" s="73"/>
      <c r="W4" s="73" t="s">
        <v>58</v>
      </c>
      <c r="X4" s="73"/>
      <c r="Y4" s="73" t="s">
        <v>59</v>
      </c>
      <c r="Z4" s="73"/>
      <c r="AA4" s="73" t="s">
        <v>48</v>
      </c>
      <c r="AB4" s="73"/>
    </row>
    <row r="5" spans="2:28" ht="12">
      <c r="B5" s="25" t="s">
        <v>80</v>
      </c>
      <c r="C5" s="25" t="s">
        <v>92</v>
      </c>
      <c r="D5" s="25" t="s">
        <v>84</v>
      </c>
      <c r="E5" s="25" t="s">
        <v>92</v>
      </c>
      <c r="F5" s="25" t="s">
        <v>84</v>
      </c>
      <c r="G5" s="25" t="s">
        <v>92</v>
      </c>
      <c r="H5" s="25" t="s">
        <v>84</v>
      </c>
      <c r="I5" s="25" t="s">
        <v>92</v>
      </c>
      <c r="J5" s="25" t="s">
        <v>84</v>
      </c>
      <c r="K5" s="25" t="s">
        <v>92</v>
      </c>
      <c r="L5" s="25" t="s">
        <v>84</v>
      </c>
      <c r="M5" s="25" t="s">
        <v>92</v>
      </c>
      <c r="N5" s="25" t="s">
        <v>84</v>
      </c>
      <c r="O5" s="25" t="s">
        <v>92</v>
      </c>
      <c r="P5" s="25" t="s">
        <v>84</v>
      </c>
      <c r="Q5" s="25" t="s">
        <v>92</v>
      </c>
      <c r="R5" s="25" t="s">
        <v>84</v>
      </c>
      <c r="S5" s="25" t="s">
        <v>92</v>
      </c>
      <c r="T5" s="25" t="s">
        <v>84</v>
      </c>
      <c r="U5" s="25" t="s">
        <v>92</v>
      </c>
      <c r="V5" s="25" t="s">
        <v>84</v>
      </c>
      <c r="W5" s="25" t="s">
        <v>92</v>
      </c>
      <c r="X5" s="25" t="s">
        <v>84</v>
      </c>
      <c r="Y5" s="25" t="s">
        <v>92</v>
      </c>
      <c r="Z5" s="25" t="s">
        <v>84</v>
      </c>
      <c r="AA5" s="25" t="s">
        <v>92</v>
      </c>
      <c r="AB5" s="25" t="s">
        <v>84</v>
      </c>
    </row>
    <row r="7" spans="2:28" ht="12.75">
      <c r="B7" s="41" t="s">
        <v>31</v>
      </c>
      <c r="C7" s="70">
        <f>+'Mar''25 Billing'!J78</f>
        <v>798581.98</v>
      </c>
      <c r="D7" s="70">
        <f>+'Mar''25 Receipting'!O106</f>
        <v>575490.05000000005</v>
      </c>
      <c r="E7" s="70">
        <f>+'Apr''25 Billing'!J53</f>
        <v>531897.28</v>
      </c>
      <c r="F7" s="70">
        <f>+'Apr''25 Receipting'!O29</f>
        <v>337621.36</v>
      </c>
      <c r="G7" s="70">
        <f>+'May''25 Billing'!J55</f>
        <v>393596.21</v>
      </c>
      <c r="H7" s="70">
        <f>+'May''25 Receipting'!O58</f>
        <v>644784.95000000007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2:28" ht="12.75">
      <c r="B8" s="41" t="s">
        <v>33</v>
      </c>
      <c r="C8" s="70">
        <f>+'Mar''25 Billing'!K78</f>
        <v>658489.32999999996</v>
      </c>
      <c r="D8" s="70">
        <f>+'Mar''25 Receipting'!P106</f>
        <v>259796.91</v>
      </c>
      <c r="E8" s="70">
        <f>+'Apr''25 Billing'!K53</f>
        <v>217258</v>
      </c>
      <c r="F8" s="70">
        <f>+'Apr''25 Receipting'!P29</f>
        <v>446439.07</v>
      </c>
      <c r="G8" s="70">
        <f>+'May''25 Billing'!K55</f>
        <v>158665.93</v>
      </c>
      <c r="H8" s="70">
        <f>+'May''25 Receipting'!P58</f>
        <v>320208.66000000003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2:28" ht="12.75">
      <c r="B9" s="41" t="s">
        <v>35</v>
      </c>
      <c r="C9" s="70">
        <f>+'Mar''25 Billing'!L78</f>
        <v>673482.60000000009</v>
      </c>
      <c r="D9" s="70">
        <f>+'Mar''25 Receipting'!Q106</f>
        <v>394174.76</v>
      </c>
      <c r="E9" s="70">
        <f>+'Apr''25 Billing'!L53</f>
        <v>327798.40999999997</v>
      </c>
      <c r="F9" s="70">
        <f>+'Apr''25 Receipting'!Q29</f>
        <v>68060.14</v>
      </c>
      <c r="G9" s="70">
        <f>+'May''25 Billing'!L55</f>
        <v>151566.85</v>
      </c>
      <c r="H9" s="70">
        <f>+'May''25 Receipting'!Q58</f>
        <v>189004.2</v>
      </c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2:28" ht="12.75">
      <c r="B10" s="41" t="s">
        <v>37</v>
      </c>
      <c r="C10" s="70">
        <f>+'Mar''25 Billing'!M78</f>
        <v>603886.91</v>
      </c>
      <c r="D10" s="70">
        <f>+'Mar''25 Receipting'!R106</f>
        <v>372435</v>
      </c>
      <c r="E10" s="70">
        <f>+'Apr''25 Billing'!M53</f>
        <v>252361.33000000002</v>
      </c>
      <c r="F10" s="70">
        <f>+'Apr''25 Receipting'!R29</f>
        <v>385970</v>
      </c>
      <c r="G10" s="70">
        <f>+'May''25 Billing'!M55</f>
        <v>138434.74</v>
      </c>
      <c r="H10" s="70">
        <f>+'May''25 Receipting'!R58</f>
        <v>266751.91000000003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2:28" ht="12.75">
      <c r="B11" s="39" t="s">
        <v>39</v>
      </c>
      <c r="C11" s="70">
        <f>+'Mar''25 Billing'!N78</f>
        <v>356769.61</v>
      </c>
      <c r="D11" s="70">
        <f>+'Mar''25 Receipting'!S106</f>
        <v>187845.44000000003</v>
      </c>
      <c r="E11" s="70">
        <f>+'Apr''25 Billing'!N53</f>
        <v>179394.92999999996</v>
      </c>
      <c r="F11" s="70">
        <f>+'Apr''25 Receipting'!S29</f>
        <v>145743.71</v>
      </c>
      <c r="G11" s="70">
        <f>+'May''25 Billing'!N55</f>
        <v>112263.74999999999</v>
      </c>
      <c r="H11" s="70">
        <f>+'May''25 Receipting'!S58</f>
        <v>251867.39000000007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2:28" ht="12.75">
      <c r="B12" s="41" t="s">
        <v>40</v>
      </c>
      <c r="C12" s="70">
        <f>+'Mar''25 Billing'!O78</f>
        <v>232880</v>
      </c>
      <c r="D12" s="70">
        <f>+'Mar''25 Receipting'!T106</f>
        <v>0</v>
      </c>
      <c r="E12" s="70">
        <f>+'Apr''25 Billing'!O53</f>
        <v>224854.05</v>
      </c>
      <c r="F12" s="70">
        <f>+'Apr''25 Receipting'!T29</f>
        <v>0</v>
      </c>
      <c r="G12" s="70">
        <f>+'May''25 Billing'!O55</f>
        <v>110997.99</v>
      </c>
      <c r="H12" s="70">
        <f>+'May''25 Receipting'!T58</f>
        <v>60160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2:28" ht="12.75">
      <c r="B13" s="41" t="s">
        <v>41</v>
      </c>
      <c r="C13" s="70">
        <f>+'Mar''25 Billing'!P78</f>
        <v>124788.18000000001</v>
      </c>
      <c r="D13" s="70">
        <f>+'Mar''25 Receipting'!U106</f>
        <v>0</v>
      </c>
      <c r="E13" s="70">
        <f>+'Apr''25 Billing'!P53</f>
        <v>112243.8</v>
      </c>
      <c r="F13" s="70">
        <f>+'Apr''25 Receipting'!U29</f>
        <v>36569.26</v>
      </c>
      <c r="G13" s="70">
        <v>0</v>
      </c>
      <c r="H13" s="70">
        <f>+'May''25 Receipting'!U58</f>
        <v>86415.22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2:28" ht="12.75">
      <c r="B14" s="41" t="s">
        <v>42</v>
      </c>
      <c r="C14" s="70">
        <f>+'Mar''25 Billing'!Q78</f>
        <v>674302.7</v>
      </c>
      <c r="D14" s="70">
        <f>+'Mar''25 Receipting'!V106</f>
        <v>529003.26</v>
      </c>
      <c r="E14" s="70">
        <f>+'Apr''25 Billing'!Q53</f>
        <v>351838.00000000006</v>
      </c>
      <c r="F14" s="70">
        <f>+'Apr''25 Receipting'!V29</f>
        <v>343041.17</v>
      </c>
      <c r="G14" s="70">
        <f>+'May''25 Billing'!Q55</f>
        <v>388232.94999999995</v>
      </c>
      <c r="H14" s="70">
        <f>+'May''25 Receipting'!V58</f>
        <v>143304.35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2:28" ht="12.75">
      <c r="B15" s="41" t="s">
        <v>43</v>
      </c>
      <c r="C15" s="70">
        <f>+'Mar''25 Billing'!R78</f>
        <v>474990</v>
      </c>
      <c r="D15" s="70">
        <f>+'Mar''25 Receipting'!W106</f>
        <v>0</v>
      </c>
      <c r="E15" s="70">
        <f>+'Apr''25 Billing'!R53</f>
        <v>199230</v>
      </c>
      <c r="F15" s="70">
        <f>+'Apr''25 Receipting'!W29</f>
        <v>396960</v>
      </c>
      <c r="G15" s="70">
        <f>+'May''25 Billing'!R55</f>
        <v>91980</v>
      </c>
      <c r="H15" s="70">
        <f>+'May''25 Receipting'!W58</f>
        <v>0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2:28" ht="12.75">
      <c r="B16" s="41" t="s">
        <v>44</v>
      </c>
      <c r="C16" s="70">
        <f>+'Mar''25 Billing'!S78</f>
        <v>93065.159999999989</v>
      </c>
      <c r="D16" s="70">
        <f>+'Mar''25 Receipting'!X106</f>
        <v>11720.5</v>
      </c>
      <c r="E16" s="70">
        <f>+'Apr''25 Billing'!S53</f>
        <v>33788.29</v>
      </c>
      <c r="F16" s="70">
        <f>+'Apr''25 Receipting'!X29</f>
        <v>12921.6</v>
      </c>
      <c r="G16" s="70">
        <f>+'May''25 Billing'!S55</f>
        <v>30483.45</v>
      </c>
      <c r="H16" s="70">
        <f>+'May''25 Receipting'!X58</f>
        <v>8360</v>
      </c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2:28" ht="12.75">
      <c r="B17" s="41" t="s">
        <v>45</v>
      </c>
      <c r="C17" s="60">
        <v>0</v>
      </c>
      <c r="D17" s="60">
        <v>0</v>
      </c>
      <c r="E17" s="60">
        <f>+'Apr''25 Billing'!T53</f>
        <v>123559.51</v>
      </c>
      <c r="F17" s="60">
        <v>0</v>
      </c>
      <c r="G17" s="60">
        <f>+'May''25 Billing'!T55</f>
        <v>69855.83</v>
      </c>
      <c r="H17" s="60">
        <f>+'May''25 Receipting'!Y58</f>
        <v>37531.199999999997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2:28" ht="15" thickBot="1">
      <c r="C18" s="64">
        <f t="shared" ref="C18:H18" si="0">SUM(C7:C17)</f>
        <v>4691236.4700000007</v>
      </c>
      <c r="D18" s="64">
        <f t="shared" si="0"/>
        <v>2330465.92</v>
      </c>
      <c r="E18" s="64">
        <f t="shared" si="0"/>
        <v>2554223.6</v>
      </c>
      <c r="F18" s="64">
        <f t="shared" si="0"/>
        <v>2173326.31</v>
      </c>
      <c r="G18" s="64">
        <f t="shared" si="0"/>
        <v>1646077.7</v>
      </c>
      <c r="H18" s="64">
        <f t="shared" si="0"/>
        <v>2008387.8800000004</v>
      </c>
    </row>
    <row r="19" spans="2:28" ht="12" thickTop="1"/>
    <row r="20" spans="2:28" ht="14.25">
      <c r="B20" s="52"/>
    </row>
    <row r="21" spans="2:28" ht="14.25">
      <c r="B21" s="52"/>
    </row>
  </sheetData>
  <mergeCells count="13">
    <mergeCell ref="AA4:AB4"/>
    <mergeCell ref="O4:P4"/>
    <mergeCell ref="Q4:R4"/>
    <mergeCell ref="S4:T4"/>
    <mergeCell ref="U4:V4"/>
    <mergeCell ref="W4:X4"/>
    <mergeCell ref="Y4:Z4"/>
    <mergeCell ref="M4:N4"/>
    <mergeCell ref="C4:D4"/>
    <mergeCell ref="E4:F4"/>
    <mergeCell ref="G4:H4"/>
    <mergeCell ref="I4:J4"/>
    <mergeCell ref="K4:L4"/>
  </mergeCells>
  <pageMargins left="0.25" right="0.25" top="0.75" bottom="0.75" header="0.3" footer="0.3"/>
  <pageSetup scale="3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1E02-990A-4C93-A4E4-7CE0FCF33D38}">
  <sheetPr>
    <pageSetUpPr fitToPage="1"/>
  </sheetPr>
  <dimension ref="B2:T93"/>
  <sheetViews>
    <sheetView zoomScaleNormal="100" workbookViewId="0">
      <selection activeCell="D17" sqref="D17"/>
    </sheetView>
  </sheetViews>
  <sheetFormatPr defaultColWidth="8.85546875" defaultRowHeight="11.25"/>
  <cols>
    <col min="1" max="1" width="8.85546875" style="1"/>
    <col min="2" max="2" width="41.42578125" style="1" customWidth="1"/>
    <col min="3" max="3" width="11.5703125" style="1" bestFit="1" customWidth="1"/>
    <col min="4" max="4" width="15.7109375" style="1" bestFit="1" customWidth="1"/>
    <col min="5" max="8" width="11.140625" style="1" bestFit="1" customWidth="1"/>
    <col min="9" max="9" width="10.42578125" style="1" bestFit="1" customWidth="1"/>
    <col min="10" max="10" width="11.140625" style="1" bestFit="1" customWidth="1"/>
    <col min="11" max="11" width="9.85546875" style="1" bestFit="1" customWidth="1"/>
    <col min="12" max="14" width="11.140625" style="1" bestFit="1" customWidth="1"/>
    <col min="15" max="15" width="10.42578125" style="1" bestFit="1" customWidth="1"/>
    <col min="16" max="16" width="9.28515625" style="1" bestFit="1" customWidth="1"/>
    <col min="17" max="17" width="8.85546875" style="1"/>
    <col min="18" max="18" width="11.28515625" style="1" bestFit="1" customWidth="1"/>
    <col min="19" max="19" width="8.85546875" style="1"/>
    <col min="20" max="20" width="15.42578125" style="1" bestFit="1" customWidth="1"/>
    <col min="21" max="16384" width="8.85546875" style="1"/>
  </cols>
  <sheetData>
    <row r="2" spans="2:20" ht="15.75">
      <c r="B2" s="2" t="s">
        <v>108</v>
      </c>
    </row>
    <row r="4" spans="2:20" ht="12">
      <c r="E4" s="25" t="s">
        <v>2</v>
      </c>
      <c r="F4" s="25" t="s">
        <v>49</v>
      </c>
      <c r="G4" s="25" t="s">
        <v>50</v>
      </c>
      <c r="H4" s="25" t="s">
        <v>51</v>
      </c>
      <c r="I4" s="25" t="s">
        <v>52</v>
      </c>
      <c r="J4" s="25" t="s">
        <v>53</v>
      </c>
      <c r="K4" s="25" t="s">
        <v>54</v>
      </c>
      <c r="L4" s="25" t="s">
        <v>55</v>
      </c>
      <c r="M4" s="25" t="s">
        <v>56</v>
      </c>
      <c r="N4" s="25" t="s">
        <v>57</v>
      </c>
      <c r="O4" s="25" t="s">
        <v>58</v>
      </c>
      <c r="P4" s="25" t="s">
        <v>59</v>
      </c>
      <c r="R4" s="25" t="s">
        <v>109</v>
      </c>
      <c r="T4" s="25" t="s">
        <v>110</v>
      </c>
    </row>
    <row r="5" spans="2:20" ht="12">
      <c r="B5" s="25" t="s">
        <v>111</v>
      </c>
      <c r="C5" s="25" t="s">
        <v>60</v>
      </c>
    </row>
    <row r="7" spans="2:20">
      <c r="B7" s="12" t="s">
        <v>112</v>
      </c>
    </row>
    <row r="9" spans="2:20">
      <c r="B9" s="1" t="s">
        <v>27</v>
      </c>
      <c r="C9" s="5">
        <f>240000+(177.12*12)+(240000*0.01)</f>
        <v>244525.44</v>
      </c>
      <c r="E9" s="5">
        <v>20377.12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5">
        <f>E9+F9+G9+H9+I9+J9+K9+L9+M9+N9+O9+P9</f>
        <v>20377.12</v>
      </c>
      <c r="T9" s="7">
        <f>C9-R9</f>
        <v>224148.32</v>
      </c>
    </row>
    <row r="10" spans="2:20">
      <c r="B10" s="1" t="s">
        <v>29</v>
      </c>
      <c r="C10" s="5">
        <f>90000+(90000*0.01)+(90000*0.01)</f>
        <v>91800</v>
      </c>
      <c r="E10" s="5">
        <v>8171.58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R10" s="5">
        <f t="shared" ref="R10:R57" si="0">E10+F10+G10+H10+I10+J10+K10+L10+M10+N10+O10+P10</f>
        <v>8171.58</v>
      </c>
      <c r="T10" s="7">
        <f>C10-R10</f>
        <v>83628.42</v>
      </c>
    </row>
    <row r="11" spans="2:20">
      <c r="B11" s="1" t="s">
        <v>113</v>
      </c>
      <c r="C11" s="5"/>
      <c r="D11" s="5">
        <v>4800000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R11" s="5">
        <f t="shared" si="0"/>
        <v>0</v>
      </c>
      <c r="T11" s="7">
        <f>C11-R11</f>
        <v>0</v>
      </c>
    </row>
    <row r="12" spans="2:20">
      <c r="B12" s="1" t="s">
        <v>114</v>
      </c>
      <c r="C12" s="5"/>
      <c r="D12" s="5">
        <v>2500000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R12" s="5"/>
      <c r="T12" s="7">
        <f>C12-R12</f>
        <v>0</v>
      </c>
    </row>
    <row r="13" spans="2:20">
      <c r="B13" s="1" t="s">
        <v>115</v>
      </c>
      <c r="C13" s="5">
        <v>787200</v>
      </c>
      <c r="E13" s="5">
        <v>134493.54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R13" s="5">
        <f t="shared" si="0"/>
        <v>134493.54</v>
      </c>
      <c r="T13" s="7"/>
    </row>
    <row r="14" spans="2:20">
      <c r="B14" s="1" t="s">
        <v>116</v>
      </c>
      <c r="C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>
        <f t="shared" si="0"/>
        <v>0</v>
      </c>
      <c r="T14" s="7"/>
    </row>
    <row r="16" spans="2:20">
      <c r="B16" s="1" t="s">
        <v>117</v>
      </c>
      <c r="C16" s="5">
        <f>35000*12</f>
        <v>420000</v>
      </c>
      <c r="E16" s="5">
        <v>40600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R16" s="5">
        <f t="shared" si="0"/>
        <v>40600</v>
      </c>
      <c r="T16" s="7">
        <f>C16-R16</f>
        <v>379400</v>
      </c>
    </row>
    <row r="17" spans="2:20">
      <c r="B17" s="1" t="s">
        <v>118</v>
      </c>
      <c r="C17" s="19">
        <f>24630.02*1.1</f>
        <v>27093.022000000004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R17" s="5">
        <f t="shared" si="0"/>
        <v>0</v>
      </c>
      <c r="T17" s="7">
        <f t="shared" ref="T17:T57" si="1">C17-R17</f>
        <v>27093.022000000004</v>
      </c>
    </row>
    <row r="18" spans="2:20">
      <c r="B18" s="1" t="s">
        <v>119</v>
      </c>
      <c r="C18" s="5">
        <f>23929.19*1.1</f>
        <v>26322.109</v>
      </c>
      <c r="E18" s="5">
        <v>537.83000000000004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R18" s="5">
        <f t="shared" si="0"/>
        <v>537.83000000000004</v>
      </c>
      <c r="T18" s="7">
        <f t="shared" si="1"/>
        <v>25784.278999999999</v>
      </c>
    </row>
    <row r="19" spans="2:20">
      <c r="B19" s="1" t="s">
        <v>120</v>
      </c>
      <c r="C19" s="5">
        <v>120781.53</v>
      </c>
      <c r="E19" s="5">
        <v>120781.53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R19" s="5">
        <f t="shared" si="0"/>
        <v>120781.53</v>
      </c>
      <c r="T19" s="7"/>
    </row>
    <row r="20" spans="2:20">
      <c r="B20" s="1" t="s">
        <v>121</v>
      </c>
      <c r="C20" s="5">
        <v>100000</v>
      </c>
      <c r="E20" s="5">
        <v>2051.4699999999998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R20" s="5">
        <f t="shared" si="0"/>
        <v>2051.4699999999998</v>
      </c>
      <c r="T20" s="7">
        <f t="shared" si="1"/>
        <v>97948.53</v>
      </c>
    </row>
    <row r="21" spans="2:20">
      <c r="B21" s="1" t="s">
        <v>122</v>
      </c>
      <c r="C21" s="5">
        <v>100000</v>
      </c>
      <c r="E21" s="5">
        <v>43124.09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R21" s="5">
        <f t="shared" si="0"/>
        <v>43124.09</v>
      </c>
      <c r="T21" s="7">
        <f t="shared" si="1"/>
        <v>56875.91</v>
      </c>
    </row>
    <row r="22" spans="2:20">
      <c r="B22" s="1" t="s">
        <v>123</v>
      </c>
      <c r="C22" s="5">
        <v>100000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>
        <f t="shared" si="0"/>
        <v>0</v>
      </c>
      <c r="T22" s="7">
        <f t="shared" si="1"/>
        <v>100000</v>
      </c>
    </row>
    <row r="23" spans="2:20">
      <c r="B23" s="1" t="s">
        <v>124</v>
      </c>
      <c r="C23" s="19">
        <v>50000</v>
      </c>
      <c r="E23" s="5">
        <v>47296.07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R23" s="5">
        <f t="shared" si="0"/>
        <v>47296.07</v>
      </c>
      <c r="T23" s="7">
        <f t="shared" si="1"/>
        <v>2703.9300000000003</v>
      </c>
    </row>
    <row r="24" spans="2:20">
      <c r="B24" s="1" t="s">
        <v>125</v>
      </c>
      <c r="C24" s="19">
        <v>30000</v>
      </c>
      <c r="E24" s="5">
        <v>2951.13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R24" s="5">
        <f t="shared" si="0"/>
        <v>2951.13</v>
      </c>
      <c r="T24" s="7">
        <f t="shared" si="1"/>
        <v>27048.87</v>
      </c>
    </row>
    <row r="25" spans="2:20">
      <c r="B25" s="1" t="s">
        <v>126</v>
      </c>
      <c r="C25" s="19">
        <v>60000</v>
      </c>
      <c r="E25" s="5">
        <f>612.01+51165.9+3276.68</f>
        <v>55054.590000000004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R25" s="5">
        <f t="shared" si="0"/>
        <v>55054.590000000004</v>
      </c>
      <c r="T25" s="7">
        <f t="shared" si="1"/>
        <v>4945.4099999999962</v>
      </c>
    </row>
    <row r="26" spans="2:20">
      <c r="B26" s="1" t="s">
        <v>127</v>
      </c>
      <c r="C26" s="19">
        <v>132000</v>
      </c>
      <c r="E26" s="5">
        <v>5623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T26" s="7"/>
    </row>
    <row r="27" spans="2:20">
      <c r="B27" s="1" t="s">
        <v>128</v>
      </c>
      <c r="C27" s="19">
        <v>120000</v>
      </c>
      <c r="E27" s="5">
        <f>12927.79+400+14831.55</f>
        <v>28159.34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R27" s="5">
        <f t="shared" si="0"/>
        <v>28159.34</v>
      </c>
      <c r="T27" s="7">
        <f t="shared" si="1"/>
        <v>91840.66</v>
      </c>
    </row>
    <row r="28" spans="2:20">
      <c r="B28" s="1" t="s">
        <v>129</v>
      </c>
      <c r="C28" s="5">
        <f>459241.9*1.1</f>
        <v>505166.09000000008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R28" s="5">
        <f t="shared" si="0"/>
        <v>0</v>
      </c>
      <c r="T28" s="7">
        <f t="shared" si="1"/>
        <v>505166.09000000008</v>
      </c>
    </row>
    <row r="29" spans="2:20">
      <c r="B29" s="1" t="s">
        <v>130</v>
      </c>
      <c r="C29" s="5">
        <v>1375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R29" s="5"/>
      <c r="T29" s="7"/>
    </row>
    <row r="30" spans="2:20">
      <c r="B30" s="1" t="s">
        <v>131</v>
      </c>
      <c r="C30" s="5">
        <v>1800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>
        <f t="shared" si="0"/>
        <v>0</v>
      </c>
      <c r="T30" s="7">
        <f t="shared" si="1"/>
        <v>1800</v>
      </c>
    </row>
    <row r="31" spans="2:20">
      <c r="B31" s="1" t="s">
        <v>132</v>
      </c>
      <c r="C31" s="5">
        <v>15880</v>
      </c>
      <c r="E31" s="5">
        <f>32169.53+2065.22</f>
        <v>34234.75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R31" s="5">
        <f t="shared" si="0"/>
        <v>34234.75</v>
      </c>
      <c r="T31" s="7">
        <f t="shared" si="1"/>
        <v>-18354.75</v>
      </c>
    </row>
    <row r="32" spans="2:20">
      <c r="B32" s="1" t="s">
        <v>133</v>
      </c>
      <c r="C32" s="5">
        <f>600000*1.1</f>
        <v>660000</v>
      </c>
      <c r="E32" s="5">
        <v>55000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R32" s="5"/>
      <c r="T32" s="7"/>
    </row>
    <row r="33" spans="2:20">
      <c r="B33" s="1" t="s">
        <v>134</v>
      </c>
      <c r="C33" s="5">
        <f>25000*12</f>
        <v>300000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R33" s="5">
        <f>E33+F33+G33+H33+I33+J33+K33+L33+M33+N33+O33+P33</f>
        <v>0</v>
      </c>
      <c r="T33" s="7">
        <f t="shared" si="1"/>
        <v>300000</v>
      </c>
    </row>
    <row r="34" spans="2:20">
      <c r="B34" s="1" t="s">
        <v>135</v>
      </c>
      <c r="C34" s="5">
        <v>216000</v>
      </c>
      <c r="E34" s="5">
        <v>24538.5</v>
      </c>
      <c r="F34" s="5"/>
      <c r="G34" s="5"/>
      <c r="H34" s="5"/>
      <c r="I34" s="5"/>
      <c r="K34" s="5"/>
      <c r="L34" s="5"/>
      <c r="M34" s="5"/>
      <c r="N34" s="5"/>
      <c r="O34" s="5"/>
      <c r="P34" s="5"/>
      <c r="R34" s="5">
        <f>E34+F34+G34+H34+I34+J34+K34+L34+M34+N34+O34+P34</f>
        <v>24538.5</v>
      </c>
      <c r="T34" s="7">
        <f t="shared" si="1"/>
        <v>191461.5</v>
      </c>
    </row>
    <row r="35" spans="2:20">
      <c r="B35" s="1" t="s">
        <v>136</v>
      </c>
      <c r="C35" s="5">
        <v>300000</v>
      </c>
      <c r="E35" s="5">
        <v>4750</v>
      </c>
      <c r="F35" s="5"/>
      <c r="G35" s="5"/>
      <c r="H35" s="5"/>
      <c r="I35" s="5"/>
      <c r="K35" s="5"/>
      <c r="L35" s="5"/>
      <c r="M35" s="5"/>
      <c r="N35" s="5"/>
      <c r="O35" s="5"/>
      <c r="P35" s="5"/>
      <c r="R35" s="5"/>
      <c r="T35" s="7"/>
    </row>
    <row r="36" spans="2:20">
      <c r="B36" s="1" t="s">
        <v>137</v>
      </c>
      <c r="C36" s="5">
        <f>63865.65*1.1</f>
        <v>70252.215000000011</v>
      </c>
      <c r="E36" s="5">
        <f>1848.34+55.2+10+68.2</f>
        <v>1981.74</v>
      </c>
      <c r="F36" s="5"/>
      <c r="G36" s="5"/>
      <c r="H36" s="5"/>
      <c r="I36" s="5"/>
      <c r="K36" s="5"/>
      <c r="L36" s="5"/>
      <c r="M36" s="5"/>
      <c r="N36" s="5"/>
      <c r="O36" s="5"/>
      <c r="P36" s="5"/>
      <c r="R36" s="5"/>
      <c r="T36" s="7"/>
    </row>
    <row r="37" spans="2:20">
      <c r="B37" s="1" t="s">
        <v>138</v>
      </c>
      <c r="C37" s="5">
        <v>660000</v>
      </c>
      <c r="E37" s="5">
        <v>66515.17</v>
      </c>
      <c r="F37" s="5"/>
      <c r="G37" s="5"/>
      <c r="H37" s="5"/>
      <c r="I37" s="5"/>
      <c r="K37" s="5"/>
      <c r="L37" s="5"/>
      <c r="M37" s="5"/>
      <c r="N37" s="5"/>
      <c r="O37" s="5"/>
      <c r="P37" s="5"/>
      <c r="R37" s="5"/>
      <c r="T37" s="7"/>
    </row>
    <row r="38" spans="2:20">
      <c r="B38" s="1" t="s">
        <v>139</v>
      </c>
      <c r="C38" s="5">
        <f>116699.97*1.1</f>
        <v>128369.96700000002</v>
      </c>
      <c r="E38" s="5">
        <v>12910</v>
      </c>
      <c r="F38" s="5"/>
      <c r="G38" s="5"/>
      <c r="H38" s="5"/>
      <c r="I38" s="5"/>
      <c r="K38" s="5"/>
      <c r="L38" s="5"/>
      <c r="M38" s="5"/>
      <c r="N38" s="5"/>
      <c r="O38" s="5"/>
      <c r="P38" s="5"/>
      <c r="R38" s="5"/>
      <c r="T38" s="7"/>
    </row>
    <row r="39" spans="2:20">
      <c r="B39" s="1" t="s">
        <v>140</v>
      </c>
      <c r="C39" s="5">
        <v>70000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R39" s="5">
        <f t="shared" si="0"/>
        <v>0</v>
      </c>
      <c r="T39" s="7">
        <f t="shared" si="1"/>
        <v>70000</v>
      </c>
    </row>
    <row r="40" spans="2:20">
      <c r="B40" s="1" t="s">
        <v>141</v>
      </c>
      <c r="C40" s="5">
        <v>240000</v>
      </c>
      <c r="E40" s="5">
        <v>30000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>
        <f t="shared" si="0"/>
        <v>30000</v>
      </c>
      <c r="T40" s="7">
        <f t="shared" si="1"/>
        <v>210000</v>
      </c>
    </row>
    <row r="41" spans="2:20">
      <c r="B41" s="1" t="s">
        <v>142</v>
      </c>
      <c r="C41" s="19">
        <f>242698.93*1.1</f>
        <v>266968.82300000003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R41" s="5">
        <f t="shared" si="0"/>
        <v>0</v>
      </c>
      <c r="T41" s="7">
        <f t="shared" si="1"/>
        <v>266968.82300000003</v>
      </c>
    </row>
    <row r="42" spans="2:20">
      <c r="B42" s="1" t="s">
        <v>143</v>
      </c>
      <c r="C42" s="5">
        <f>13095.88*1.1</f>
        <v>14405.468000000001</v>
      </c>
      <c r="E42" s="5">
        <v>431.72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5">
        <f t="shared" si="0"/>
        <v>431.72</v>
      </c>
      <c r="T42" s="7">
        <f t="shared" si="1"/>
        <v>13973.748000000001</v>
      </c>
    </row>
    <row r="43" spans="2:20">
      <c r="B43" s="1" t="s">
        <v>144</v>
      </c>
      <c r="C43" s="5">
        <v>28941.96</v>
      </c>
      <c r="E43" s="5">
        <v>2411.83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R43" s="5"/>
      <c r="T43" s="7"/>
    </row>
    <row r="44" spans="2:20">
      <c r="B44" s="1" t="s">
        <v>145</v>
      </c>
      <c r="C44" s="5">
        <v>254538.6</v>
      </c>
      <c r="E44" s="5">
        <v>15130.63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R44" s="5"/>
      <c r="T44" s="7"/>
    </row>
    <row r="45" spans="2:20">
      <c r="B45" s="1" t="s">
        <v>146</v>
      </c>
      <c r="C45" s="5">
        <v>51198.85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R45" s="5">
        <f t="shared" si="0"/>
        <v>0</v>
      </c>
      <c r="T45" s="7">
        <f t="shared" si="1"/>
        <v>51198.85</v>
      </c>
    </row>
    <row r="46" spans="2:20">
      <c r="B46" s="1" t="s">
        <v>147</v>
      </c>
      <c r="C46" s="5">
        <v>16500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R46" s="5">
        <f t="shared" si="0"/>
        <v>0</v>
      </c>
      <c r="T46" s="7">
        <f t="shared" si="1"/>
        <v>16500</v>
      </c>
    </row>
    <row r="47" spans="2:20" ht="10.9" customHeight="1">
      <c r="B47" s="1" t="s">
        <v>148</v>
      </c>
      <c r="C47" s="5">
        <v>265000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R47" s="5">
        <f t="shared" si="0"/>
        <v>0</v>
      </c>
      <c r="T47" s="7">
        <f t="shared" si="1"/>
        <v>265000</v>
      </c>
    </row>
    <row r="48" spans="2:20">
      <c r="B48" s="1" t="s">
        <v>149</v>
      </c>
      <c r="C48" s="5">
        <f>50654.8*1.1</f>
        <v>55720.280000000006</v>
      </c>
      <c r="E48" s="5">
        <v>777.67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>
        <f t="shared" si="0"/>
        <v>777.67</v>
      </c>
      <c r="T48" s="7">
        <f t="shared" si="1"/>
        <v>54942.610000000008</v>
      </c>
    </row>
    <row r="49" spans="2:20">
      <c r="B49" s="1" t="s">
        <v>150</v>
      </c>
      <c r="C49" s="5">
        <v>60000</v>
      </c>
      <c r="E49" s="5">
        <f>8714.6+951.22</f>
        <v>9665.82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R49" s="5"/>
      <c r="T49" s="7"/>
    </row>
    <row r="50" spans="2:20">
      <c r="B50" s="1" t="s">
        <v>151</v>
      </c>
      <c r="C50" s="5">
        <v>600000</v>
      </c>
      <c r="E50" s="5">
        <v>46164.57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R50" s="5"/>
      <c r="T50" s="7"/>
    </row>
    <row r="51" spans="2:20">
      <c r="B51" s="1" t="s">
        <v>152</v>
      </c>
      <c r="C51" s="5">
        <v>13179</v>
      </c>
      <c r="E51" s="5">
        <v>1003.67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R51" s="5">
        <f t="shared" si="0"/>
        <v>1003.67</v>
      </c>
      <c r="T51" s="7">
        <f t="shared" si="1"/>
        <v>12175.33</v>
      </c>
    </row>
    <row r="52" spans="2:20">
      <c r="B52" s="1" t="s">
        <v>153</v>
      </c>
      <c r="C52" s="5">
        <v>30000</v>
      </c>
      <c r="E52" s="5">
        <v>4297.71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R52" s="5">
        <f t="shared" si="0"/>
        <v>4297.71</v>
      </c>
      <c r="T52" s="7">
        <f t="shared" si="1"/>
        <v>25702.29</v>
      </c>
    </row>
    <row r="53" spans="2:20">
      <c r="B53" s="1" t="s">
        <v>154</v>
      </c>
      <c r="C53" s="5">
        <v>300000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R53" s="5">
        <f t="shared" si="0"/>
        <v>0</v>
      </c>
      <c r="T53" s="7">
        <f t="shared" si="1"/>
        <v>300000</v>
      </c>
    </row>
    <row r="54" spans="2:20">
      <c r="B54" s="1" t="s">
        <v>155</v>
      </c>
      <c r="C54" s="19">
        <v>400000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R54" s="5">
        <f t="shared" si="0"/>
        <v>0</v>
      </c>
      <c r="T54" s="7">
        <f t="shared" si="1"/>
        <v>400000</v>
      </c>
    </row>
    <row r="55" spans="2:20">
      <c r="B55" s="1" t="s">
        <v>156</v>
      </c>
      <c r="C55" s="19">
        <v>650000</v>
      </c>
      <c r="E55" s="5">
        <v>3066.09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R55" s="5">
        <f t="shared" si="0"/>
        <v>3066.09</v>
      </c>
      <c r="T55" s="7">
        <f t="shared" si="1"/>
        <v>646933.91</v>
      </c>
    </row>
    <row r="56" spans="2:20">
      <c r="B56" s="1" t="s">
        <v>157</v>
      </c>
      <c r="C56" s="19">
        <v>850000</v>
      </c>
      <c r="E56" s="5">
        <v>8013.14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R56" s="5">
        <f t="shared" si="0"/>
        <v>8013.14</v>
      </c>
      <c r="T56" s="7">
        <f t="shared" si="1"/>
        <v>841986.86</v>
      </c>
    </row>
    <row r="57" spans="2:20">
      <c r="B57" s="1" t="s">
        <v>158</v>
      </c>
      <c r="C57" s="5">
        <f>15417.88*1.1</f>
        <v>16959.668000000001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R57" s="5">
        <f t="shared" si="0"/>
        <v>0</v>
      </c>
      <c r="T57" s="7">
        <f t="shared" si="1"/>
        <v>16959.668000000001</v>
      </c>
    </row>
    <row r="59" spans="2:20" ht="12" thickBot="1">
      <c r="B59" s="1" t="s">
        <v>159</v>
      </c>
      <c r="C59" s="8">
        <f>SUM(C9:C57)</f>
        <v>9451978.021999998</v>
      </c>
      <c r="D59" s="44" t="s">
        <v>160</v>
      </c>
      <c r="E59" s="8">
        <f t="shared" ref="E59:P59" si="2">SUM(E9:E57)</f>
        <v>830114.29999999993</v>
      </c>
      <c r="F59" s="8">
        <f t="shared" si="2"/>
        <v>0</v>
      </c>
      <c r="G59" s="8">
        <f t="shared" si="2"/>
        <v>0</v>
      </c>
      <c r="H59" s="8">
        <f t="shared" si="2"/>
        <v>0</v>
      </c>
      <c r="I59" s="8">
        <f t="shared" si="2"/>
        <v>0</v>
      </c>
      <c r="J59" s="8">
        <f t="shared" si="2"/>
        <v>0</v>
      </c>
      <c r="K59" s="8">
        <f t="shared" si="2"/>
        <v>0</v>
      </c>
      <c r="L59" s="8">
        <f t="shared" si="2"/>
        <v>0</v>
      </c>
      <c r="M59" s="8">
        <f t="shared" si="2"/>
        <v>0</v>
      </c>
      <c r="N59" s="8">
        <f t="shared" si="2"/>
        <v>0</v>
      </c>
      <c r="O59" s="8">
        <f t="shared" si="2"/>
        <v>0</v>
      </c>
      <c r="P59" s="8">
        <f t="shared" si="2"/>
        <v>0</v>
      </c>
      <c r="R59" s="8">
        <f>SUM(R9:R57)</f>
        <v>609961.54</v>
      </c>
      <c r="T59" s="8">
        <f>SUM(T9:T57)</f>
        <v>5293832.28</v>
      </c>
    </row>
    <row r="60" spans="2:20" ht="12" thickTop="1"/>
    <row r="61" spans="2:20" ht="12" thickBot="1">
      <c r="B61" s="1" t="s">
        <v>161</v>
      </c>
      <c r="C61" s="8">
        <f>'Salaries &amp; Budgets'!M26</f>
        <v>9712000</v>
      </c>
      <c r="E61" s="8">
        <f>'Salaries &amp; Budgets'!N26</f>
        <v>859270.72927272692</v>
      </c>
      <c r="F61" s="8">
        <f>'Salaries &amp; Budgets'!O26</f>
        <v>859270.72927272716</v>
      </c>
      <c r="G61" s="8">
        <f>'Salaries &amp; Budgets'!P26</f>
        <v>859270.72927272716</v>
      </c>
      <c r="H61" s="8">
        <f>'Salaries &amp; Budgets'!Q26</f>
        <v>859270.72927272716</v>
      </c>
      <c r="I61" s="8">
        <f>'Salaries &amp; Budgets'!R26</f>
        <v>859270.72927272716</v>
      </c>
      <c r="J61" s="8">
        <f>'Salaries &amp; Budgets'!S26</f>
        <v>859270.72927272716</v>
      </c>
      <c r="K61" s="8">
        <f>'Salaries &amp; Budgets'!T26</f>
        <v>859270.72927272716</v>
      </c>
      <c r="L61" s="8">
        <f>'Salaries &amp; Budgets'!U26</f>
        <v>859270.72927272716</v>
      </c>
      <c r="M61" s="8">
        <f>'Salaries &amp; Budgets'!V26</f>
        <v>859270.72927272716</v>
      </c>
      <c r="N61" s="8">
        <f>'Salaries &amp; Budgets'!W26</f>
        <v>859270.72927272716</v>
      </c>
      <c r="O61" s="8">
        <f>'Salaries &amp; Budgets'!X26</f>
        <v>859270.72927272716</v>
      </c>
      <c r="P61" s="8">
        <f>'Salaries &amp; Budgets'!Y26</f>
        <v>0</v>
      </c>
      <c r="R61" s="8">
        <f>SUM(E61:O61)</f>
        <v>9451978.021999998</v>
      </c>
      <c r="T61" s="8"/>
    </row>
    <row r="62" spans="2:20" ht="12" thickTop="1"/>
    <row r="63" spans="2:20" ht="12" thickBot="1">
      <c r="B63" s="1" t="s">
        <v>162</v>
      </c>
      <c r="C63" s="8">
        <f>+IF(C61&gt;C59,0,(C59-C61))</f>
        <v>0</v>
      </c>
      <c r="E63" s="8">
        <f>E59-E61</f>
        <v>-29156.429272726993</v>
      </c>
      <c r="F63" s="8">
        <f t="shared" ref="F63:P63" si="3">F59-F61</f>
        <v>-859270.72927272716</v>
      </c>
      <c r="G63" s="8">
        <f t="shared" si="3"/>
        <v>-859270.72927272716</v>
      </c>
      <c r="H63" s="8">
        <f t="shared" si="3"/>
        <v>-859270.72927272716</v>
      </c>
      <c r="I63" s="8">
        <f t="shared" si="3"/>
        <v>-859270.72927272716</v>
      </c>
      <c r="J63" s="8">
        <f t="shared" si="3"/>
        <v>-859270.72927272716</v>
      </c>
      <c r="K63" s="8">
        <f t="shared" si="3"/>
        <v>-859270.72927272716</v>
      </c>
      <c r="L63" s="8">
        <f t="shared" si="3"/>
        <v>-859270.72927272716</v>
      </c>
      <c r="M63" s="8">
        <f t="shared" si="3"/>
        <v>-859270.72927272716</v>
      </c>
      <c r="N63" s="8">
        <f t="shared" si="3"/>
        <v>-859270.72927272716</v>
      </c>
      <c r="O63" s="8">
        <f t="shared" si="3"/>
        <v>-859270.72927272716</v>
      </c>
      <c r="P63" s="8">
        <f t="shared" si="3"/>
        <v>0</v>
      </c>
      <c r="R63" s="8">
        <f>R59-R61</f>
        <v>-8842016.481999997</v>
      </c>
      <c r="T63" s="8">
        <f>T59+T61</f>
        <v>5293832.28</v>
      </c>
    </row>
    <row r="64" spans="2:20" ht="12" thickTop="1"/>
    <row r="65" spans="2:10">
      <c r="B65" s="13" t="s">
        <v>163</v>
      </c>
    </row>
    <row r="67" spans="2:10">
      <c r="B67" s="1" t="s">
        <v>164</v>
      </c>
      <c r="E67" s="5"/>
      <c r="F67" s="5"/>
      <c r="G67" s="7"/>
    </row>
    <row r="68" spans="2:10">
      <c r="B68" s="1" t="s">
        <v>165</v>
      </c>
      <c r="E68" s="5"/>
      <c r="F68" s="5"/>
      <c r="G68" s="7"/>
    </row>
    <row r="69" spans="2:10">
      <c r="B69" s="1" t="s">
        <v>166</v>
      </c>
      <c r="E69" s="5">
        <v>-1139181.69</v>
      </c>
      <c r="F69" s="5"/>
      <c r="G69" s="7"/>
      <c r="J69" s="42"/>
    </row>
    <row r="70" spans="2:10">
      <c r="B70" s="1" t="s">
        <v>167</v>
      </c>
      <c r="E70" s="5">
        <v>-810231.75</v>
      </c>
      <c r="F70" s="5"/>
      <c r="G70" s="7"/>
    </row>
    <row r="71" spans="2:10">
      <c r="B71" s="1" t="s">
        <v>168</v>
      </c>
      <c r="E71" s="5">
        <v>-10509.34</v>
      </c>
      <c r="F71" s="5"/>
      <c r="G71" s="7"/>
    </row>
    <row r="72" spans="2:10">
      <c r="B72" s="1" t="s">
        <v>169</v>
      </c>
      <c r="E72" s="5"/>
      <c r="F72" s="5"/>
      <c r="G72" s="7"/>
    </row>
    <row r="73" spans="2:10">
      <c r="B73" s="1" t="s">
        <v>170</v>
      </c>
      <c r="E73" s="5">
        <v>6412294.3399999999</v>
      </c>
      <c r="F73" s="5"/>
      <c r="G73" s="7"/>
    </row>
    <row r="74" spans="2:10">
      <c r="B74" s="1" t="s">
        <v>171</v>
      </c>
      <c r="E74" s="5">
        <v>1601870.36</v>
      </c>
      <c r="F74" s="5"/>
      <c r="G74" s="7"/>
    </row>
    <row r="75" spans="2:10">
      <c r="B75" s="1" t="s">
        <v>172</v>
      </c>
      <c r="E75" s="5"/>
      <c r="F75" s="5"/>
      <c r="G75" s="7"/>
    </row>
    <row r="76" spans="2:10">
      <c r="B76" s="1" t="s">
        <v>173</v>
      </c>
      <c r="E76" s="5">
        <v>-1932208.36</v>
      </c>
      <c r="F76" s="5"/>
      <c r="G76" s="7"/>
    </row>
    <row r="77" spans="2:10">
      <c r="B77" s="1" t="s">
        <v>174</v>
      </c>
      <c r="E77" s="5"/>
      <c r="F77" s="5"/>
      <c r="G77" s="7"/>
    </row>
    <row r="78" spans="2:10">
      <c r="B78" s="1" t="s">
        <v>175</v>
      </c>
      <c r="E78" s="5">
        <v>-7273.13</v>
      </c>
      <c r="F78" s="5"/>
      <c r="G78" s="7"/>
    </row>
    <row r="79" spans="2:10">
      <c r="B79" s="1" t="s">
        <v>176</v>
      </c>
      <c r="E79" s="5">
        <v>16430.57</v>
      </c>
      <c r="F79" s="5"/>
      <c r="G79" s="7"/>
    </row>
    <row r="80" spans="2:10">
      <c r="F80" s="5"/>
      <c r="G80" s="7"/>
    </row>
    <row r="81" spans="5:15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5:15" ht="12" thickBot="1">
      <c r="E82" s="8">
        <f>+SUM(E67:E79)-E59</f>
        <v>3301076.6999999997</v>
      </c>
      <c r="G82" s="7"/>
    </row>
    <row r="83" spans="5:15" ht="12" thickTop="1">
      <c r="G83" s="7"/>
    </row>
    <row r="84" spans="5:15">
      <c r="G84" s="7"/>
    </row>
    <row r="85" spans="5:15">
      <c r="G85" s="7"/>
    </row>
    <row r="86" spans="5:15">
      <c r="G86" s="7"/>
    </row>
    <row r="87" spans="5:15">
      <c r="G87" s="7"/>
    </row>
    <row r="88" spans="5:15">
      <c r="G88" s="7"/>
    </row>
    <row r="89" spans="5:15">
      <c r="G89" s="7"/>
    </row>
    <row r="90" spans="5:15">
      <c r="G90" s="7"/>
    </row>
    <row r="91" spans="5:15">
      <c r="G91" s="7"/>
    </row>
    <row r="92" spans="5:15">
      <c r="G92" s="7"/>
    </row>
    <row r="93" spans="5:15">
      <c r="G93" s="7"/>
    </row>
  </sheetData>
  <sortState xmlns:xlrd2="http://schemas.microsoft.com/office/spreadsheetml/2017/richdata2" ref="B16:C57">
    <sortCondition ref="B16:B57"/>
  </sortState>
  <phoneticPr fontId="5" type="noConversion"/>
  <pageMargins left="0.25" right="0.25" top="0.75" bottom="0.75" header="0.3" footer="0.3"/>
  <pageSetup paperSize="9" scale="59" fitToWidth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5EAE-4C41-41A5-A21B-A7A3860A05FC}">
  <dimension ref="B2:P28"/>
  <sheetViews>
    <sheetView workbookViewId="0">
      <selection activeCell="B9" sqref="B9"/>
    </sheetView>
  </sheetViews>
  <sheetFormatPr defaultColWidth="8.85546875" defaultRowHeight="11.25"/>
  <cols>
    <col min="1" max="1" width="8.85546875" style="1"/>
    <col min="2" max="2" width="36.28515625" style="1" bestFit="1" customWidth="1"/>
    <col min="3" max="3" width="41.28515625" style="1" bestFit="1" customWidth="1"/>
    <col min="4" max="4" width="10" style="1" bestFit="1" customWidth="1"/>
    <col min="5" max="5" width="9.85546875" style="1" bestFit="1" customWidth="1"/>
    <col min="6" max="6" width="17.7109375" style="1" bestFit="1" customWidth="1"/>
    <col min="7" max="7" width="8.85546875" style="1"/>
    <col min="8" max="8" width="8.7109375" style="1" bestFit="1" customWidth="1"/>
    <col min="9" max="9" width="9.28515625" style="1" bestFit="1" customWidth="1"/>
    <col min="10" max="10" width="10" style="1" bestFit="1" customWidth="1"/>
    <col min="11" max="11" width="11.140625" style="1" bestFit="1" customWidth="1"/>
    <col min="12" max="12" width="11.28515625" style="1" bestFit="1" customWidth="1"/>
    <col min="13" max="13" width="25.5703125" style="1" bestFit="1" customWidth="1"/>
    <col min="14" max="14" width="25" style="1" bestFit="1" customWidth="1"/>
    <col min="15" max="15" width="8.85546875" style="1"/>
    <col min="16" max="16" width="9.85546875" style="1" bestFit="1" customWidth="1"/>
    <col min="17" max="16384" width="8.85546875" style="1"/>
  </cols>
  <sheetData>
    <row r="2" spans="2:16" ht="18">
      <c r="B2" s="10" t="s">
        <v>177</v>
      </c>
      <c r="C2" s="10"/>
    </row>
    <row r="3" spans="2:16" ht="18">
      <c r="B3" s="10"/>
      <c r="C3" s="10"/>
    </row>
    <row r="4" spans="2:16" ht="18">
      <c r="B4" s="10" t="s">
        <v>178</v>
      </c>
      <c r="C4" s="10"/>
    </row>
    <row r="6" spans="2:16" ht="12.75">
      <c r="B6" s="76" t="s">
        <v>179</v>
      </c>
      <c r="C6" s="76"/>
      <c r="D6" s="76"/>
      <c r="E6" s="76"/>
      <c r="F6" s="76"/>
      <c r="H6" s="76" t="s">
        <v>180</v>
      </c>
      <c r="I6" s="76"/>
      <c r="J6" s="76"/>
      <c r="K6" s="76"/>
      <c r="L6" s="76"/>
      <c r="M6" s="76"/>
      <c r="N6" s="76"/>
    </row>
    <row r="7" spans="2:16" ht="12">
      <c r="B7" s="25" t="s">
        <v>181</v>
      </c>
      <c r="C7" s="25" t="s">
        <v>182</v>
      </c>
      <c r="D7" s="25" t="s">
        <v>183</v>
      </c>
      <c r="E7" s="25" t="s">
        <v>184</v>
      </c>
      <c r="F7" s="25" t="s">
        <v>185</v>
      </c>
      <c r="H7" s="25" t="s">
        <v>181</v>
      </c>
      <c r="I7" s="25" t="s">
        <v>180</v>
      </c>
      <c r="J7" s="25" t="s">
        <v>183</v>
      </c>
      <c r="K7" s="25" t="s">
        <v>184</v>
      </c>
      <c r="L7" s="25" t="s">
        <v>186</v>
      </c>
      <c r="M7" s="25" t="s">
        <v>187</v>
      </c>
      <c r="N7" s="25" t="s">
        <v>188</v>
      </c>
      <c r="P7" s="25" t="s">
        <v>189</v>
      </c>
    </row>
    <row r="9" spans="2:16">
      <c r="B9" s="17"/>
      <c r="C9" s="14"/>
      <c r="D9" s="23"/>
      <c r="E9" s="18"/>
      <c r="F9" s="7"/>
      <c r="K9" s="5"/>
      <c r="L9" s="5"/>
      <c r="M9" s="5"/>
      <c r="N9" s="5"/>
      <c r="P9" s="7"/>
    </row>
    <row r="10" spans="2:16">
      <c r="B10" s="17"/>
      <c r="C10" s="14"/>
      <c r="D10" s="23"/>
      <c r="E10" s="28"/>
      <c r="F10" s="29"/>
      <c r="G10" s="29"/>
      <c r="K10" s="5"/>
      <c r="L10" s="5"/>
      <c r="M10" s="5"/>
      <c r="N10" s="5"/>
      <c r="P10" s="7"/>
    </row>
    <row r="11" spans="2:16">
      <c r="K11" s="7"/>
    </row>
    <row r="12" spans="2:16">
      <c r="B12" s="16"/>
      <c r="C12" s="14"/>
      <c r="E12" s="5"/>
      <c r="F12" s="5"/>
      <c r="K12" s="5"/>
      <c r="L12" s="5"/>
      <c r="M12" s="5"/>
      <c r="N12" s="5"/>
      <c r="P12" s="7"/>
    </row>
    <row r="13" spans="2:16">
      <c r="K13" s="5"/>
      <c r="L13" s="5"/>
      <c r="M13" s="5"/>
      <c r="N13" s="5"/>
    </row>
    <row r="14" spans="2:16">
      <c r="B14" s="16"/>
      <c r="C14" s="14"/>
      <c r="E14" s="5"/>
      <c r="F14" s="5"/>
      <c r="K14" s="5"/>
      <c r="L14" s="5"/>
      <c r="M14" s="5"/>
      <c r="N14" s="5"/>
      <c r="P14" s="7"/>
    </row>
    <row r="15" spans="2:16">
      <c r="K15" s="5"/>
      <c r="L15" s="5"/>
      <c r="M15" s="5"/>
      <c r="N15" s="5"/>
    </row>
    <row r="16" spans="2:16">
      <c r="B16" s="16"/>
      <c r="C16" s="14"/>
      <c r="E16" s="5"/>
      <c r="F16" s="5"/>
      <c r="K16" s="5"/>
      <c r="L16" s="5"/>
      <c r="M16" s="5"/>
      <c r="N16" s="5"/>
      <c r="P16" s="7"/>
    </row>
    <row r="17" spans="2:16">
      <c r="K17" s="5"/>
      <c r="L17" s="5"/>
      <c r="M17" s="5"/>
      <c r="N17" s="5"/>
    </row>
    <row r="18" spans="2:16">
      <c r="B18" s="16"/>
      <c r="C18" s="14"/>
      <c r="E18" s="5"/>
      <c r="F18" s="5"/>
      <c r="K18" s="7"/>
      <c r="L18" s="7"/>
      <c r="M18" s="7"/>
      <c r="N18" s="7"/>
      <c r="P18" s="7"/>
    </row>
    <row r="19" spans="2:16">
      <c r="K19" s="7"/>
      <c r="L19" s="7"/>
      <c r="M19" s="7"/>
      <c r="N19" s="7"/>
      <c r="P19" s="7"/>
    </row>
    <row r="20" spans="2:16">
      <c r="B20" s="16"/>
      <c r="C20" s="14"/>
      <c r="E20" s="5"/>
      <c r="F20" s="5"/>
      <c r="K20" s="7"/>
      <c r="L20" s="7"/>
      <c r="M20" s="7"/>
      <c r="N20" s="7"/>
      <c r="O20" s="7"/>
      <c r="P20" s="7"/>
    </row>
    <row r="21" spans="2:16">
      <c r="K21" s="7"/>
      <c r="L21" s="7"/>
      <c r="M21" s="7"/>
      <c r="N21" s="7"/>
      <c r="O21" s="7"/>
      <c r="P21" s="7"/>
    </row>
    <row r="22" spans="2:16">
      <c r="B22" s="16"/>
      <c r="C22" s="14"/>
      <c r="E22" s="7"/>
      <c r="F22" s="7"/>
    </row>
    <row r="24" spans="2:16">
      <c r="B24" s="16"/>
      <c r="C24" s="14"/>
      <c r="E24" s="7"/>
      <c r="F24" s="7"/>
    </row>
    <row r="26" spans="2:16">
      <c r="B26" s="16"/>
      <c r="C26" s="14"/>
      <c r="E26" s="7"/>
      <c r="F26" s="7"/>
    </row>
    <row r="28" spans="2:16">
      <c r="B28" s="16"/>
      <c r="C28" s="14"/>
      <c r="E28" s="7"/>
    </row>
  </sheetData>
  <mergeCells count="2">
    <mergeCell ref="B6:F6"/>
    <mergeCell ref="H6:N6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BAC7-C90E-4089-BC2A-DD08197F2319}">
  <sheetPr>
    <pageSetUpPr fitToPage="1"/>
  </sheetPr>
  <dimension ref="B2:AG110"/>
  <sheetViews>
    <sheetView zoomScale="71" zoomScaleNormal="71" workbookViewId="0">
      <pane xSplit="12" ySplit="4" topLeftCell="M47" activePane="bottomRight" state="frozen"/>
      <selection pane="bottomRight" activeCell="P71" sqref="P71"/>
      <selection pane="bottomLeft" activeCell="M24" sqref="M24"/>
      <selection pane="topRight" activeCell="M24" sqref="M24"/>
    </sheetView>
  </sheetViews>
  <sheetFormatPr defaultColWidth="8.7109375" defaultRowHeight="11.25"/>
  <cols>
    <col min="1" max="1" width="8.7109375" style="1"/>
    <col min="2" max="2" width="18.2851562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2.28515625" style="1" bestFit="1" customWidth="1"/>
    <col min="7" max="7" width="10.85546875" style="1" bestFit="1" customWidth="1"/>
    <col min="8" max="8" width="18.28515625" style="1" bestFit="1" customWidth="1"/>
    <col min="9" max="9" width="8.7109375" style="1"/>
    <col min="10" max="10" width="10.7109375" style="1" bestFit="1" customWidth="1"/>
    <col min="11" max="11" width="19" style="1" bestFit="1" customWidth="1"/>
    <col min="12" max="12" width="8.42578125" style="1" bestFit="1" customWidth="1"/>
    <col min="13" max="13" width="8.7109375" style="1"/>
    <col min="14" max="14" width="16.28515625" style="1" bestFit="1" customWidth="1"/>
    <col min="15" max="15" width="11.42578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23.28515625" style="1" bestFit="1" customWidth="1"/>
    <col min="20" max="20" width="18.5703125" style="1" customWidth="1"/>
    <col min="21" max="21" width="24.42578125" style="1" bestFit="1" customWidth="1"/>
    <col min="22" max="23" width="18.5703125" style="1" customWidth="1"/>
    <col min="24" max="24" width="20" style="1" bestFit="1" customWidth="1"/>
    <col min="25" max="25" width="20" style="1" customWidth="1"/>
    <col min="26" max="26" width="22.7109375" style="1" bestFit="1" customWidth="1"/>
    <col min="27" max="27" width="11.140625" style="1" bestFit="1" customWidth="1"/>
    <col min="28" max="28" width="16.140625" style="1" bestFit="1" customWidth="1"/>
    <col min="29" max="29" width="34.5703125" style="1" bestFit="1" customWidth="1"/>
    <col min="30" max="30" width="16.7109375" style="1" bestFit="1" customWidth="1"/>
    <col min="31" max="31" width="8.7109375" style="1"/>
    <col min="32" max="32" width="11.140625" style="1" bestFit="1" customWidth="1"/>
    <col min="33" max="16384" width="8.7109375" style="1"/>
  </cols>
  <sheetData>
    <row r="2" spans="2:32" ht="15.75">
      <c r="B2" s="2" t="s">
        <v>190</v>
      </c>
    </row>
    <row r="3" spans="2:32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</row>
    <row r="4" spans="2:32" ht="12">
      <c r="B4" s="25" t="s">
        <v>182</v>
      </c>
      <c r="C4" s="25" t="s">
        <v>191</v>
      </c>
      <c r="D4" s="25" t="s">
        <v>192</v>
      </c>
      <c r="E4" s="25" t="s">
        <v>193</v>
      </c>
      <c r="F4" s="25" t="s">
        <v>184</v>
      </c>
      <c r="G4" s="25" t="s">
        <v>194</v>
      </c>
      <c r="H4" s="25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180</v>
      </c>
      <c r="Z4" s="4" t="s">
        <v>200</v>
      </c>
      <c r="AA4" s="4" t="s">
        <v>201</v>
      </c>
      <c r="AB4" s="4" t="s">
        <v>202</v>
      </c>
      <c r="AC4" s="4" t="s">
        <v>203</v>
      </c>
      <c r="AD4" s="4" t="s">
        <v>204</v>
      </c>
      <c r="AF4" s="25" t="s">
        <v>63</v>
      </c>
    </row>
    <row r="5" spans="2:32">
      <c r="B5" s="1" t="s">
        <v>205</v>
      </c>
      <c r="C5" s="1" t="s">
        <v>206</v>
      </c>
      <c r="D5" s="1" t="s">
        <v>207</v>
      </c>
      <c r="E5" s="1" t="s">
        <v>208</v>
      </c>
      <c r="F5" s="1">
        <v>235663.75</v>
      </c>
      <c r="G5" s="5">
        <f t="shared" ref="G5" si="0">F5*15/115</f>
        <v>30738.75</v>
      </c>
      <c r="H5" s="5">
        <f t="shared" ref="H5:H86" si="1">F5-G5</f>
        <v>204925</v>
      </c>
      <c r="J5" s="1" t="s">
        <v>209</v>
      </c>
      <c r="K5" s="1">
        <v>235663.75</v>
      </c>
      <c r="N5" s="5">
        <v>132000</v>
      </c>
      <c r="O5" s="5">
        <v>72925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f t="shared" ref="AD5:AD55" si="2">SUM(N5:AC5)</f>
        <v>204925</v>
      </c>
      <c r="AF5" s="5">
        <f t="shared" ref="AF5:AF55" si="3">H5-AD5</f>
        <v>0</v>
      </c>
    </row>
    <row r="6" spans="2:32">
      <c r="B6" s="1" t="s">
        <v>210</v>
      </c>
      <c r="C6" s="55" t="s">
        <v>211</v>
      </c>
      <c r="D6" s="54" t="s">
        <v>212</v>
      </c>
      <c r="E6" s="1" t="s">
        <v>213</v>
      </c>
      <c r="F6" s="19">
        <v>33926.82</v>
      </c>
      <c r="G6" s="5">
        <f>F6*15/115</f>
        <v>4425.2373913043475</v>
      </c>
      <c r="H6" s="5">
        <f t="shared" si="1"/>
        <v>29501.582608695651</v>
      </c>
      <c r="J6" s="6" t="s">
        <v>214</v>
      </c>
      <c r="K6" s="5">
        <v>33926.82</v>
      </c>
      <c r="N6" s="5"/>
      <c r="O6" s="5"/>
      <c r="P6" s="5"/>
      <c r="Q6" s="5"/>
      <c r="R6" s="5"/>
      <c r="S6" s="5">
        <v>0</v>
      </c>
      <c r="T6" s="5"/>
      <c r="U6" s="5"/>
      <c r="V6" s="5"/>
      <c r="W6" s="5"/>
      <c r="X6" s="5"/>
      <c r="Y6" s="5"/>
      <c r="Z6" s="5">
        <v>20677.240000000002</v>
      </c>
      <c r="AA6" s="5">
        <v>8306.84</v>
      </c>
      <c r="AB6" s="5"/>
      <c r="AC6" s="5">
        <v>517.51</v>
      </c>
      <c r="AD6" s="5">
        <f t="shared" si="2"/>
        <v>29501.59</v>
      </c>
      <c r="AE6" s="5"/>
      <c r="AF6" s="5">
        <f t="shared" si="3"/>
        <v>-7.3913043488573749E-3</v>
      </c>
    </row>
    <row r="7" spans="2:32">
      <c r="B7" s="1" t="s">
        <v>205</v>
      </c>
      <c r="C7" s="55" t="s">
        <v>206</v>
      </c>
      <c r="D7" s="54" t="s">
        <v>215</v>
      </c>
      <c r="E7" s="1" t="s">
        <v>216</v>
      </c>
      <c r="F7" s="19">
        <v>147863.71</v>
      </c>
      <c r="G7" s="5">
        <f>F7*15/115</f>
        <v>19286.570869565217</v>
      </c>
      <c r="H7" s="5">
        <f t="shared" si="1"/>
        <v>128577.13913043478</v>
      </c>
      <c r="J7" s="6" t="s">
        <v>217</v>
      </c>
      <c r="K7" s="5">
        <v>147863.71</v>
      </c>
      <c r="N7" s="5"/>
      <c r="O7" s="5"/>
      <c r="P7" s="5"/>
      <c r="Q7" s="5"/>
      <c r="R7" s="5">
        <v>106400</v>
      </c>
      <c r="S7" s="5"/>
      <c r="T7" s="5"/>
      <c r="U7" s="5"/>
      <c r="V7" s="5"/>
      <c r="W7" s="5"/>
      <c r="X7" s="5"/>
      <c r="Y7" s="5"/>
      <c r="Z7" s="5">
        <v>22144.5</v>
      </c>
      <c r="AA7" s="5"/>
      <c r="AB7" s="5"/>
      <c r="AC7" s="5">
        <v>32.64</v>
      </c>
      <c r="AD7" s="5">
        <f t="shared" si="2"/>
        <v>128577.14</v>
      </c>
      <c r="AE7" s="5"/>
      <c r="AF7" s="5">
        <f t="shared" si="3"/>
        <v>-8.695652213646099E-4</v>
      </c>
    </row>
    <row r="8" spans="2:32">
      <c r="B8" s="1" t="s">
        <v>205</v>
      </c>
      <c r="C8" s="55" t="s">
        <v>218</v>
      </c>
      <c r="D8" s="54" t="s">
        <v>215</v>
      </c>
      <c r="E8" s="1" t="s">
        <v>219</v>
      </c>
      <c r="F8" s="19">
        <v>317822.05</v>
      </c>
      <c r="G8" s="5">
        <f>F8*15/115</f>
        <v>41455.050000000003</v>
      </c>
      <c r="H8" s="5">
        <f t="shared" si="1"/>
        <v>276367</v>
      </c>
      <c r="J8" s="6" t="s">
        <v>217</v>
      </c>
      <c r="K8" s="5">
        <v>317822.05</v>
      </c>
      <c r="L8" s="7"/>
      <c r="N8" s="5"/>
      <c r="O8" s="5"/>
      <c r="P8" s="5"/>
      <c r="Q8" s="5"/>
      <c r="R8" s="5">
        <v>266035</v>
      </c>
      <c r="S8" s="5"/>
      <c r="T8" s="5"/>
      <c r="U8" s="5"/>
      <c r="V8" s="5"/>
      <c r="W8" s="5"/>
      <c r="X8" s="5"/>
      <c r="Y8" s="5"/>
      <c r="Z8" s="5">
        <v>10332</v>
      </c>
      <c r="AA8" s="5"/>
      <c r="AB8" s="5"/>
      <c r="AC8" s="5"/>
      <c r="AD8" s="5">
        <f t="shared" si="2"/>
        <v>276367</v>
      </c>
      <c r="AE8" s="5"/>
      <c r="AF8" s="5">
        <f t="shared" si="3"/>
        <v>0</v>
      </c>
    </row>
    <row r="9" spans="2:32">
      <c r="B9" s="1" t="s">
        <v>220</v>
      </c>
      <c r="C9" s="55" t="s">
        <v>221</v>
      </c>
      <c r="D9" s="1" t="s">
        <v>222</v>
      </c>
      <c r="E9" s="1" t="s">
        <v>223</v>
      </c>
      <c r="F9" s="19">
        <v>284625</v>
      </c>
      <c r="G9" s="5">
        <f>F9*15/115</f>
        <v>37125</v>
      </c>
      <c r="H9" s="5">
        <f t="shared" si="1"/>
        <v>247500</v>
      </c>
      <c r="J9" s="6" t="s">
        <v>217</v>
      </c>
      <c r="K9" s="5">
        <v>284625</v>
      </c>
      <c r="N9" s="5"/>
      <c r="O9" s="5"/>
      <c r="P9" s="5"/>
      <c r="Q9" s="5"/>
      <c r="R9" s="5"/>
      <c r="S9" s="5"/>
      <c r="T9" s="5"/>
      <c r="U9" s="5"/>
      <c r="V9" s="5">
        <v>247500</v>
      </c>
      <c r="W9" s="5"/>
      <c r="X9" s="5"/>
      <c r="Y9" s="5"/>
      <c r="Z9" s="5"/>
      <c r="AA9" s="5"/>
      <c r="AB9" s="5"/>
      <c r="AC9" s="5"/>
      <c r="AD9" s="5">
        <f t="shared" si="2"/>
        <v>247500</v>
      </c>
      <c r="AE9" s="5"/>
      <c r="AF9" s="5">
        <f t="shared" si="3"/>
        <v>0</v>
      </c>
    </row>
    <row r="10" spans="2:32">
      <c r="B10" s="1" t="s">
        <v>220</v>
      </c>
      <c r="C10" s="6" t="s">
        <v>221</v>
      </c>
      <c r="D10" s="1" t="s">
        <v>224</v>
      </c>
      <c r="E10" s="1" t="s">
        <v>225</v>
      </c>
      <c r="F10" s="19">
        <v>189750</v>
      </c>
      <c r="G10" s="5">
        <f t="shared" ref="G10:G64" si="4">F10*15/115</f>
        <v>24750</v>
      </c>
      <c r="H10" s="5">
        <f t="shared" si="1"/>
        <v>165000</v>
      </c>
      <c r="J10" s="6" t="s">
        <v>217</v>
      </c>
      <c r="K10" s="5">
        <v>165000</v>
      </c>
      <c r="N10" s="5"/>
      <c r="O10" s="5"/>
      <c r="P10" s="5"/>
      <c r="Q10" s="5"/>
      <c r="R10" s="5"/>
      <c r="S10" s="5"/>
      <c r="T10" s="5"/>
      <c r="U10" s="5"/>
      <c r="V10" s="5">
        <v>165000</v>
      </c>
      <c r="W10" s="5"/>
      <c r="X10" s="5"/>
      <c r="Y10" s="5"/>
      <c r="Z10" s="5"/>
      <c r="AA10" s="5"/>
      <c r="AB10" s="5"/>
      <c r="AC10" s="5"/>
      <c r="AD10" s="5">
        <f t="shared" si="2"/>
        <v>165000</v>
      </c>
      <c r="AE10" s="5"/>
      <c r="AF10" s="5">
        <f t="shared" si="3"/>
        <v>0</v>
      </c>
    </row>
    <row r="11" spans="2:32">
      <c r="B11" s="1" t="s">
        <v>220</v>
      </c>
      <c r="C11" s="6" t="s">
        <v>221</v>
      </c>
      <c r="D11" s="1" t="s">
        <v>226</v>
      </c>
      <c r="E11" s="1" t="s">
        <v>227</v>
      </c>
      <c r="F11" s="19">
        <v>63250</v>
      </c>
      <c r="G11" s="5">
        <f t="shared" si="4"/>
        <v>8250</v>
      </c>
      <c r="H11" s="5">
        <f t="shared" si="1"/>
        <v>55000</v>
      </c>
      <c r="J11" s="6" t="s">
        <v>217</v>
      </c>
      <c r="K11" s="5">
        <v>63250</v>
      </c>
      <c r="N11" s="5"/>
      <c r="O11" s="5"/>
      <c r="P11" s="5"/>
      <c r="Q11" s="5"/>
      <c r="R11" s="5"/>
      <c r="S11" s="5"/>
      <c r="T11" s="5"/>
      <c r="U11" s="5"/>
      <c r="V11" s="5">
        <v>55000</v>
      </c>
      <c r="W11" s="5"/>
      <c r="X11" s="5"/>
      <c r="Y11" s="5"/>
      <c r="Z11" s="5"/>
      <c r="AA11" s="5"/>
      <c r="AB11" s="5"/>
      <c r="AC11" s="5"/>
      <c r="AD11" s="5">
        <f t="shared" si="2"/>
        <v>55000</v>
      </c>
      <c r="AE11" s="5"/>
      <c r="AF11" s="5">
        <f t="shared" si="3"/>
        <v>0</v>
      </c>
    </row>
    <row r="12" spans="2:32">
      <c r="B12" s="1" t="s">
        <v>228</v>
      </c>
      <c r="C12" s="6" t="s">
        <v>218</v>
      </c>
      <c r="D12" s="1" t="s">
        <v>229</v>
      </c>
      <c r="E12" s="1" t="s">
        <v>230</v>
      </c>
      <c r="F12" s="19">
        <v>101775</v>
      </c>
      <c r="G12" s="5">
        <f t="shared" si="4"/>
        <v>13275</v>
      </c>
      <c r="H12" s="5">
        <f t="shared" si="1"/>
        <v>88500</v>
      </c>
      <c r="J12" s="6" t="s">
        <v>231</v>
      </c>
      <c r="K12" s="5">
        <v>101775</v>
      </c>
      <c r="N12" s="5">
        <v>65000</v>
      </c>
      <c r="O12" s="5"/>
      <c r="P12" s="5"/>
      <c r="Q12" s="5">
        <v>23500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f t="shared" si="2"/>
        <v>88500</v>
      </c>
      <c r="AE12" s="5"/>
      <c r="AF12" s="5">
        <f t="shared" si="3"/>
        <v>0</v>
      </c>
    </row>
    <row r="13" spans="2:32">
      <c r="B13" s="47" t="s">
        <v>232</v>
      </c>
      <c r="C13" s="46"/>
      <c r="D13" s="47" t="s">
        <v>233</v>
      </c>
      <c r="E13" s="47" t="s">
        <v>234</v>
      </c>
      <c r="F13" s="48">
        <v>130150</v>
      </c>
      <c r="G13" s="49">
        <v>0</v>
      </c>
      <c r="H13" s="49">
        <f t="shared" si="1"/>
        <v>130150</v>
      </c>
      <c r="I13" s="47"/>
      <c r="J13" s="46" t="s">
        <v>209</v>
      </c>
      <c r="K13" s="49">
        <v>130150</v>
      </c>
      <c r="N13" s="5"/>
      <c r="O13" s="5">
        <v>126250</v>
      </c>
      <c r="P13" s="5">
        <v>3900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f t="shared" si="2"/>
        <v>130150</v>
      </c>
      <c r="AE13" s="5"/>
      <c r="AF13" s="5">
        <f t="shared" si="3"/>
        <v>0</v>
      </c>
    </row>
    <row r="14" spans="2:32">
      <c r="C14" s="6"/>
      <c r="F14" s="19"/>
      <c r="G14" s="5">
        <f t="shared" si="4"/>
        <v>0</v>
      </c>
      <c r="H14" s="5">
        <f t="shared" si="1"/>
        <v>0</v>
      </c>
      <c r="J14" s="6"/>
      <c r="K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f t="shared" si="2"/>
        <v>0</v>
      </c>
      <c r="AE14" s="5"/>
      <c r="AF14" s="5">
        <f t="shared" si="3"/>
        <v>0</v>
      </c>
    </row>
    <row r="15" spans="2:32">
      <c r="B15" s="1" t="s">
        <v>235</v>
      </c>
      <c r="C15" s="6" t="s">
        <v>236</v>
      </c>
      <c r="D15" s="1" t="s">
        <v>237</v>
      </c>
      <c r="E15" s="1" t="s">
        <v>238</v>
      </c>
      <c r="F15" s="19">
        <v>41119.4</v>
      </c>
      <c r="G15" s="5">
        <f t="shared" si="4"/>
        <v>5363.4</v>
      </c>
      <c r="H15" s="5">
        <f t="shared" si="1"/>
        <v>35756</v>
      </c>
      <c r="J15" s="6" t="s">
        <v>239</v>
      </c>
      <c r="K15" s="5">
        <v>41119.4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35756</v>
      </c>
      <c r="AC15" s="5"/>
      <c r="AD15" s="5">
        <f t="shared" si="2"/>
        <v>35756</v>
      </c>
      <c r="AE15" s="5"/>
      <c r="AF15" s="5">
        <f t="shared" si="3"/>
        <v>0</v>
      </c>
    </row>
    <row r="16" spans="2:32">
      <c r="B16" s="1" t="s">
        <v>220</v>
      </c>
      <c r="C16" s="6" t="s">
        <v>240</v>
      </c>
      <c r="D16" s="1" t="s">
        <v>222</v>
      </c>
      <c r="E16" s="1" t="s">
        <v>241</v>
      </c>
      <c r="F16" s="19">
        <v>12999.6</v>
      </c>
      <c r="G16" s="5">
        <f t="shared" si="4"/>
        <v>1695.6</v>
      </c>
      <c r="H16" s="5">
        <f t="shared" si="1"/>
        <v>11304</v>
      </c>
      <c r="J16" s="6" t="s">
        <v>242</v>
      </c>
      <c r="K16" s="5">
        <v>12999.6</v>
      </c>
      <c r="L16" s="7"/>
      <c r="N16" s="5"/>
      <c r="O16" s="5"/>
      <c r="P16" s="5"/>
      <c r="Q16" s="5"/>
      <c r="R16" s="5"/>
      <c r="S16" s="5"/>
      <c r="T16" s="5"/>
      <c r="U16" s="5"/>
      <c r="V16" s="5">
        <v>11000</v>
      </c>
      <c r="W16" s="5"/>
      <c r="X16" s="5"/>
      <c r="Y16" s="5"/>
      <c r="Z16" s="5"/>
      <c r="AA16" s="5"/>
      <c r="AB16" s="5"/>
      <c r="AC16" s="5">
        <v>304</v>
      </c>
      <c r="AD16" s="5">
        <f t="shared" si="2"/>
        <v>11304</v>
      </c>
      <c r="AE16" s="5"/>
      <c r="AF16" s="5">
        <f t="shared" si="3"/>
        <v>0</v>
      </c>
    </row>
    <row r="17" spans="2:33">
      <c r="B17" s="1" t="s">
        <v>243</v>
      </c>
      <c r="C17" s="6" t="s">
        <v>244</v>
      </c>
      <c r="D17" s="1" t="s">
        <v>245</v>
      </c>
      <c r="E17" s="1" t="s">
        <v>246</v>
      </c>
      <c r="F17" s="19">
        <v>21582.560000000001</v>
      </c>
      <c r="G17" s="5">
        <f t="shared" si="4"/>
        <v>2815.1165217391308</v>
      </c>
      <c r="H17" s="5">
        <f t="shared" si="1"/>
        <v>18767.44347826087</v>
      </c>
      <c r="J17" s="6" t="s">
        <v>242</v>
      </c>
      <c r="K17" s="5">
        <v>21582.560000000001</v>
      </c>
      <c r="N17" s="5">
        <v>10607.04</v>
      </c>
      <c r="O17" s="5"/>
      <c r="P17" s="5">
        <v>8135.4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25</v>
      </c>
      <c r="AD17" s="5">
        <f t="shared" si="2"/>
        <v>18767.440000000002</v>
      </c>
      <c r="AE17" s="5"/>
      <c r="AF17" s="5">
        <f t="shared" si="3"/>
        <v>3.4782608672685456E-3</v>
      </c>
    </row>
    <row r="18" spans="2:33">
      <c r="B18" s="1" t="s">
        <v>243</v>
      </c>
      <c r="C18" s="6" t="s">
        <v>244</v>
      </c>
      <c r="D18" s="1" t="s">
        <v>247</v>
      </c>
      <c r="E18" s="1" t="s">
        <v>248</v>
      </c>
      <c r="F18" s="19">
        <v>348593.05</v>
      </c>
      <c r="G18" s="5">
        <f t="shared" si="4"/>
        <v>45468.658695652171</v>
      </c>
      <c r="H18" s="5">
        <f t="shared" si="1"/>
        <v>303124.39130434784</v>
      </c>
      <c r="J18" s="6" t="s">
        <v>242</v>
      </c>
      <c r="K18" s="5">
        <v>348593.05</v>
      </c>
      <c r="N18" s="5">
        <v>137891.51999999999</v>
      </c>
      <c r="O18" s="5"/>
      <c r="P18" s="5">
        <v>75659.22</v>
      </c>
      <c r="Q18" s="5">
        <v>85421.7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4151.95</v>
      </c>
      <c r="AD18" s="5">
        <f t="shared" si="2"/>
        <v>303124.39</v>
      </c>
      <c r="AE18" s="5"/>
      <c r="AF18" s="5">
        <f t="shared" si="3"/>
        <v>1.3043478247709572E-3</v>
      </c>
    </row>
    <row r="19" spans="2:33">
      <c r="B19" s="1" t="s">
        <v>243</v>
      </c>
      <c r="C19" s="6" t="s">
        <v>206</v>
      </c>
      <c r="D19" s="1" t="s">
        <v>245</v>
      </c>
      <c r="E19" s="1" t="s">
        <v>249</v>
      </c>
      <c r="F19" s="19">
        <v>17568.71</v>
      </c>
      <c r="G19" s="5">
        <f t="shared" si="4"/>
        <v>2291.570869565217</v>
      </c>
      <c r="H19" s="5">
        <f t="shared" si="1"/>
        <v>15277.139130434782</v>
      </c>
      <c r="J19" s="6" t="s">
        <v>242</v>
      </c>
      <c r="K19" s="5">
        <v>17568.71</v>
      </c>
      <c r="N19" s="5">
        <v>7955.28</v>
      </c>
      <c r="O19" s="5"/>
      <c r="P19" s="5">
        <v>7321.86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f t="shared" si="2"/>
        <v>15277.14</v>
      </c>
      <c r="AE19" s="5"/>
      <c r="AF19" s="5">
        <f t="shared" si="3"/>
        <v>-8.6956521772663109E-4</v>
      </c>
    </row>
    <row r="20" spans="2:33">
      <c r="B20" s="1" t="s">
        <v>243</v>
      </c>
      <c r="C20" s="6" t="s">
        <v>206</v>
      </c>
      <c r="D20" s="1" t="s">
        <v>247</v>
      </c>
      <c r="E20" s="1" t="s">
        <v>250</v>
      </c>
      <c r="F20" s="19">
        <v>10589.35</v>
      </c>
      <c r="G20" s="5">
        <f t="shared" si="4"/>
        <v>1381.2195652173914</v>
      </c>
      <c r="H20" s="5">
        <f t="shared" si="1"/>
        <v>9208.1304347826081</v>
      </c>
      <c r="J20" s="6" t="s">
        <v>242</v>
      </c>
      <c r="K20" s="5">
        <v>10589.35</v>
      </c>
      <c r="N20" s="5">
        <v>7955.28</v>
      </c>
      <c r="O20" s="5"/>
      <c r="P20" s="5">
        <v>439.31</v>
      </c>
      <c r="Q20" s="5">
        <v>813.54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f t="shared" si="2"/>
        <v>9208.130000000001</v>
      </c>
      <c r="AE20" s="5"/>
      <c r="AF20" s="5">
        <f t="shared" si="3"/>
        <v>4.3478260704432614E-4</v>
      </c>
    </row>
    <row r="21" spans="2:33">
      <c r="B21" s="1" t="s">
        <v>243</v>
      </c>
      <c r="C21" s="6" t="s">
        <v>218</v>
      </c>
      <c r="D21" s="1" t="s">
        <v>251</v>
      </c>
      <c r="E21" s="1" t="s">
        <v>252</v>
      </c>
      <c r="F21" s="19">
        <v>84658.240000000005</v>
      </c>
      <c r="G21" s="5">
        <f t="shared" si="4"/>
        <v>11042.379130434783</v>
      </c>
      <c r="H21" s="5">
        <f t="shared" si="1"/>
        <v>73615.860869565222</v>
      </c>
      <c r="J21" s="6" t="s">
        <v>242</v>
      </c>
      <c r="K21" s="5">
        <v>84658.240000000005</v>
      </c>
      <c r="N21" s="5">
        <v>66294</v>
      </c>
      <c r="O21" s="5"/>
      <c r="P21" s="5">
        <v>7321.86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f t="shared" si="2"/>
        <v>73615.86</v>
      </c>
      <c r="AE21" s="5"/>
      <c r="AF21" s="5">
        <f t="shared" si="3"/>
        <v>8.695652213646099E-4</v>
      </c>
    </row>
    <row r="22" spans="2:33">
      <c r="B22" s="1" t="s">
        <v>253</v>
      </c>
      <c r="C22" s="6" t="s">
        <v>254</v>
      </c>
      <c r="D22" s="1" t="s">
        <v>255</v>
      </c>
      <c r="E22" s="1" t="s">
        <v>256</v>
      </c>
      <c r="F22" s="19">
        <v>238602</v>
      </c>
      <c r="G22" s="5">
        <f t="shared" si="4"/>
        <v>31122</v>
      </c>
      <c r="H22" s="5">
        <f t="shared" si="1"/>
        <v>207480</v>
      </c>
      <c r="J22" s="6" t="s">
        <v>257</v>
      </c>
      <c r="K22" s="5">
        <v>238602</v>
      </c>
      <c r="L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>
        <f t="shared" si="2"/>
        <v>0</v>
      </c>
      <c r="AE22" s="5"/>
      <c r="AF22" s="5">
        <f t="shared" si="3"/>
        <v>207480</v>
      </c>
      <c r="AG22" s="1" t="s">
        <v>258</v>
      </c>
    </row>
    <row r="23" spans="2:33">
      <c r="B23" s="1" t="s">
        <v>259</v>
      </c>
      <c r="C23" s="6" t="s">
        <v>218</v>
      </c>
      <c r="D23" s="1" t="s">
        <v>260</v>
      </c>
      <c r="E23" s="1" t="s">
        <v>261</v>
      </c>
      <c r="F23" s="19">
        <v>476308.15</v>
      </c>
      <c r="G23" s="5">
        <f t="shared" si="4"/>
        <v>62127.15</v>
      </c>
      <c r="H23" s="5">
        <f t="shared" si="1"/>
        <v>414181</v>
      </c>
      <c r="J23" s="6" t="s">
        <v>262</v>
      </c>
      <c r="K23" s="5">
        <v>476308.15</v>
      </c>
      <c r="L23" s="7"/>
      <c r="N23" s="5">
        <v>305000</v>
      </c>
      <c r="O23" s="5"/>
      <c r="P23" s="5"/>
      <c r="Q23" s="5">
        <v>67850</v>
      </c>
      <c r="R23" s="5"/>
      <c r="S23" s="5">
        <v>41331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f t="shared" si="2"/>
        <v>414181</v>
      </c>
      <c r="AE23" s="5"/>
      <c r="AF23" s="5">
        <f t="shared" si="3"/>
        <v>0</v>
      </c>
    </row>
    <row r="24" spans="2:33">
      <c r="B24" s="1" t="s">
        <v>259</v>
      </c>
      <c r="C24" s="6" t="s">
        <v>263</v>
      </c>
      <c r="D24" s="1" t="s">
        <v>260</v>
      </c>
      <c r="E24" s="1" t="s">
        <v>264</v>
      </c>
      <c r="F24" s="19">
        <v>27868.26</v>
      </c>
      <c r="G24" s="5">
        <f t="shared" si="4"/>
        <v>3634.9904347826082</v>
      </c>
      <c r="H24" s="5">
        <f t="shared" si="1"/>
        <v>24233.26956521739</v>
      </c>
      <c r="J24" s="6" t="s">
        <v>262</v>
      </c>
      <c r="K24" s="5">
        <v>27868.26</v>
      </c>
      <c r="L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>
        <v>24233.27</v>
      </c>
      <c r="AC24" s="5"/>
      <c r="AD24" s="5">
        <f t="shared" si="2"/>
        <v>24233.27</v>
      </c>
      <c r="AE24" s="5"/>
      <c r="AF24" s="5">
        <f t="shared" si="3"/>
        <v>-4.3478261068230495E-4</v>
      </c>
    </row>
    <row r="25" spans="2:33">
      <c r="B25" s="1" t="s">
        <v>259</v>
      </c>
      <c r="C25" s="6" t="s">
        <v>265</v>
      </c>
      <c r="D25" s="1" t="s">
        <v>260</v>
      </c>
      <c r="E25" s="1" t="s">
        <v>266</v>
      </c>
      <c r="F25" s="19">
        <v>4876</v>
      </c>
      <c r="G25" s="5">
        <f t="shared" si="4"/>
        <v>636</v>
      </c>
      <c r="H25" s="5">
        <f t="shared" si="1"/>
        <v>4240</v>
      </c>
      <c r="J25" s="6" t="s">
        <v>262</v>
      </c>
      <c r="K25" s="5">
        <v>4876</v>
      </c>
      <c r="L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4240</v>
      </c>
      <c r="AC25" s="5"/>
      <c r="AD25" s="5">
        <f t="shared" si="2"/>
        <v>4240</v>
      </c>
      <c r="AE25" s="5"/>
      <c r="AF25" s="5">
        <f t="shared" si="3"/>
        <v>0</v>
      </c>
    </row>
    <row r="26" spans="2:33">
      <c r="B26" s="1" t="s">
        <v>259</v>
      </c>
      <c r="C26" s="6" t="s">
        <v>265</v>
      </c>
      <c r="D26" s="1" t="s">
        <v>267</v>
      </c>
      <c r="E26" s="1" t="s">
        <v>268</v>
      </c>
      <c r="F26" s="19">
        <v>552</v>
      </c>
      <c r="G26" s="5">
        <f t="shared" si="4"/>
        <v>72</v>
      </c>
      <c r="H26" s="5">
        <f t="shared" si="1"/>
        <v>480</v>
      </c>
      <c r="J26" s="6" t="s">
        <v>262</v>
      </c>
      <c r="K26" s="5">
        <v>552</v>
      </c>
      <c r="L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480</v>
      </c>
      <c r="AC26" s="5"/>
      <c r="AD26" s="5">
        <f t="shared" si="2"/>
        <v>480</v>
      </c>
      <c r="AE26" s="5"/>
      <c r="AF26" s="5"/>
    </row>
    <row r="27" spans="2:33">
      <c r="B27" s="1" t="s">
        <v>269</v>
      </c>
      <c r="C27" s="6" t="s">
        <v>270</v>
      </c>
      <c r="D27" s="1" t="s">
        <v>271</v>
      </c>
      <c r="E27" s="1" t="s">
        <v>272</v>
      </c>
      <c r="F27" s="19">
        <v>2153.92</v>
      </c>
      <c r="G27" s="5">
        <f t="shared" si="4"/>
        <v>280.94608695652175</v>
      </c>
      <c r="H27" s="5">
        <f t="shared" si="1"/>
        <v>1872.9739130434782</v>
      </c>
      <c r="J27" s="6" t="s">
        <v>273</v>
      </c>
      <c r="K27" s="5">
        <v>2153.92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1872.97</v>
      </c>
      <c r="AA27" s="5"/>
      <c r="AB27" s="5"/>
      <c r="AC27" s="5"/>
      <c r="AD27" s="5">
        <f t="shared" si="2"/>
        <v>1872.97</v>
      </c>
      <c r="AE27" s="5"/>
      <c r="AF27" s="5">
        <f t="shared" si="3"/>
        <v>3.9130434781782242E-3</v>
      </c>
    </row>
    <row r="28" spans="2:33">
      <c r="B28" s="1" t="s">
        <v>269</v>
      </c>
      <c r="C28" s="6" t="s">
        <v>274</v>
      </c>
      <c r="D28" s="1" t="s">
        <v>275</v>
      </c>
      <c r="E28" s="1" t="s">
        <v>276</v>
      </c>
      <c r="F28" s="19">
        <v>109934.03</v>
      </c>
      <c r="G28" s="5">
        <f t="shared" si="4"/>
        <v>14339.221304347826</v>
      </c>
      <c r="H28" s="5">
        <f t="shared" si="1"/>
        <v>95594.808695652173</v>
      </c>
      <c r="J28" s="6" t="s">
        <v>273</v>
      </c>
      <c r="K28" s="5">
        <v>109934.03</v>
      </c>
      <c r="N28" s="5"/>
      <c r="O28" s="5">
        <v>65153.97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30440.84</v>
      </c>
      <c r="AA28" s="5"/>
      <c r="AB28" s="5"/>
      <c r="AC28" s="5"/>
      <c r="AD28" s="5">
        <f t="shared" si="2"/>
        <v>95594.81</v>
      </c>
      <c r="AE28" s="5"/>
      <c r="AF28" s="5">
        <f t="shared" si="3"/>
        <v>-1.3043478247709572E-3</v>
      </c>
    </row>
    <row r="29" spans="2:33">
      <c r="B29" s="1" t="s">
        <v>269</v>
      </c>
      <c r="C29" s="6" t="s">
        <v>277</v>
      </c>
      <c r="D29" s="1" t="s">
        <v>275</v>
      </c>
      <c r="E29" s="1" t="s">
        <v>278</v>
      </c>
      <c r="F29" s="19">
        <v>14490</v>
      </c>
      <c r="G29" s="5">
        <f t="shared" si="4"/>
        <v>1890</v>
      </c>
      <c r="H29" s="5">
        <f t="shared" si="1"/>
        <v>12600</v>
      </c>
      <c r="J29" s="6" t="s">
        <v>273</v>
      </c>
      <c r="K29" s="5">
        <v>14490</v>
      </c>
      <c r="L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12600</v>
      </c>
      <c r="AC29" s="5"/>
      <c r="AD29" s="5">
        <f t="shared" si="2"/>
        <v>12600</v>
      </c>
      <c r="AE29" s="5"/>
      <c r="AF29" s="5">
        <f t="shared" si="3"/>
        <v>0</v>
      </c>
    </row>
    <row r="30" spans="2:33">
      <c r="B30" s="1" t="s">
        <v>269</v>
      </c>
      <c r="C30" s="6" t="s">
        <v>274</v>
      </c>
      <c r="D30" s="1" t="s">
        <v>271</v>
      </c>
      <c r="E30" s="1" t="s">
        <v>279</v>
      </c>
      <c r="F30" s="19">
        <v>13658.24</v>
      </c>
      <c r="G30" s="5">
        <f t="shared" si="4"/>
        <v>1781.5095652173914</v>
      </c>
      <c r="H30" s="5">
        <f t="shared" si="1"/>
        <v>11876.730434782608</v>
      </c>
      <c r="J30" s="6" t="s">
        <v>273</v>
      </c>
      <c r="K30" s="5">
        <v>13658.24</v>
      </c>
      <c r="N30" s="5"/>
      <c r="O30" s="5">
        <v>11846.18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>
        <v>30.55</v>
      </c>
      <c r="AD30" s="5">
        <f t="shared" si="2"/>
        <v>11876.73</v>
      </c>
      <c r="AE30" s="5"/>
      <c r="AF30" s="5">
        <f t="shared" si="3"/>
        <v>4.3478260886331555E-4</v>
      </c>
    </row>
    <row r="31" spans="2:33">
      <c r="B31" s="1" t="s">
        <v>269</v>
      </c>
      <c r="C31" s="6" t="s">
        <v>280</v>
      </c>
      <c r="D31" s="54" t="s">
        <v>275</v>
      </c>
      <c r="E31" s="1" t="s">
        <v>281</v>
      </c>
      <c r="F31" s="19">
        <v>3220</v>
      </c>
      <c r="G31" s="5">
        <f t="shared" si="4"/>
        <v>420</v>
      </c>
      <c r="H31" s="5">
        <f t="shared" si="1"/>
        <v>2800</v>
      </c>
      <c r="J31" s="6" t="s">
        <v>273</v>
      </c>
      <c r="K31" s="5">
        <v>3220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2800</v>
      </c>
      <c r="AC31" s="5"/>
      <c r="AD31" s="5">
        <f t="shared" si="2"/>
        <v>2800</v>
      </c>
      <c r="AE31" s="5"/>
      <c r="AF31" s="5">
        <f t="shared" si="3"/>
        <v>0</v>
      </c>
    </row>
    <row r="32" spans="2:33">
      <c r="B32" s="1" t="s">
        <v>269</v>
      </c>
      <c r="C32" s="6" t="s">
        <v>206</v>
      </c>
      <c r="D32" s="1" t="s">
        <v>275</v>
      </c>
      <c r="E32" s="1" t="s">
        <v>282</v>
      </c>
      <c r="F32" s="19">
        <v>1638.85</v>
      </c>
      <c r="G32" s="5">
        <f t="shared" si="4"/>
        <v>213.76304347826087</v>
      </c>
      <c r="H32" s="5">
        <f t="shared" si="1"/>
        <v>1425.086956521739</v>
      </c>
      <c r="J32" s="6" t="s">
        <v>273</v>
      </c>
      <c r="K32" s="5">
        <v>1638.85</v>
      </c>
      <c r="N32" s="5"/>
      <c r="O32" s="5">
        <v>538.46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886.63</v>
      </c>
      <c r="AA32" s="5"/>
      <c r="AB32" s="5"/>
      <c r="AC32" s="5"/>
      <c r="AD32" s="5">
        <f t="shared" si="2"/>
        <v>1425.0900000000001</v>
      </c>
      <c r="AE32" s="5"/>
      <c r="AF32" s="5">
        <f t="shared" si="3"/>
        <v>-3.0434782611337141E-3</v>
      </c>
    </row>
    <row r="33" spans="2:32">
      <c r="B33" s="1" t="s">
        <v>269</v>
      </c>
      <c r="C33" s="6" t="s">
        <v>206</v>
      </c>
      <c r="D33" s="1" t="s">
        <v>271</v>
      </c>
      <c r="E33" s="1" t="s">
        <v>283</v>
      </c>
      <c r="F33" s="19">
        <v>693.54</v>
      </c>
      <c r="G33" s="5">
        <f t="shared" si="4"/>
        <v>90.461739130434765</v>
      </c>
      <c r="H33" s="5">
        <f t="shared" si="1"/>
        <v>603.07826086956516</v>
      </c>
      <c r="J33" s="6" t="s">
        <v>273</v>
      </c>
      <c r="K33" s="5">
        <v>693.54</v>
      </c>
      <c r="N33" s="5"/>
      <c r="O33" s="5">
        <v>603.08000000000004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f t="shared" si="2"/>
        <v>603.08000000000004</v>
      </c>
      <c r="AE33" s="5"/>
      <c r="AF33" s="5">
        <f t="shared" si="3"/>
        <v>-1.739130434884828E-3</v>
      </c>
    </row>
    <row r="34" spans="2:32">
      <c r="B34" s="1" t="s">
        <v>284</v>
      </c>
      <c r="C34" s="6" t="s">
        <v>285</v>
      </c>
      <c r="D34" s="1" t="s">
        <v>286</v>
      </c>
      <c r="E34" s="1" t="s">
        <v>287</v>
      </c>
      <c r="F34" s="19">
        <v>35000</v>
      </c>
      <c r="G34" s="5">
        <f t="shared" si="4"/>
        <v>4565.217391304348</v>
      </c>
      <c r="H34" s="5">
        <f t="shared" si="1"/>
        <v>30434.782608695652</v>
      </c>
      <c r="J34" s="6" t="s">
        <v>273</v>
      </c>
      <c r="K34" s="5">
        <v>35000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30434.78</v>
      </c>
      <c r="AC34" s="5"/>
      <c r="AD34" s="5">
        <f t="shared" si="2"/>
        <v>30434.78</v>
      </c>
      <c r="AE34" s="5"/>
      <c r="AF34" s="5">
        <f t="shared" si="3"/>
        <v>2.6086956531798933E-3</v>
      </c>
    </row>
    <row r="35" spans="2:32">
      <c r="B35" s="1" t="s">
        <v>269</v>
      </c>
      <c r="C35" s="6" t="s">
        <v>288</v>
      </c>
      <c r="D35" s="1" t="s">
        <v>275</v>
      </c>
      <c r="E35" s="1" t="s">
        <v>289</v>
      </c>
      <c r="F35" s="19">
        <v>28583.4</v>
      </c>
      <c r="G35" s="5">
        <f t="shared" si="4"/>
        <v>3728.2695652173911</v>
      </c>
      <c r="H35" s="5">
        <f t="shared" si="1"/>
        <v>24855.130434782612</v>
      </c>
      <c r="J35" s="6" t="s">
        <v>290</v>
      </c>
      <c r="K35" s="5">
        <v>28583.4</v>
      </c>
      <c r="N35" s="5"/>
      <c r="O35" s="5">
        <v>18307.740000000002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6547.39</v>
      </c>
      <c r="AA35" s="5"/>
      <c r="AB35" s="5"/>
      <c r="AC35" s="5"/>
      <c r="AD35" s="5">
        <f t="shared" si="2"/>
        <v>24855.13</v>
      </c>
      <c r="AE35" s="5"/>
      <c r="AF35" s="5">
        <f t="shared" si="3"/>
        <v>4.3478261068230495E-4</v>
      </c>
    </row>
    <row r="36" spans="2:32">
      <c r="B36" s="1" t="s">
        <v>269</v>
      </c>
      <c r="C36" s="6" t="s">
        <v>291</v>
      </c>
      <c r="D36" s="1" t="s">
        <v>275</v>
      </c>
      <c r="E36" s="1" t="s">
        <v>292</v>
      </c>
      <c r="F36" s="19">
        <v>99475</v>
      </c>
      <c r="G36" s="5">
        <f t="shared" si="4"/>
        <v>12975</v>
      </c>
      <c r="H36" s="5">
        <f t="shared" si="1"/>
        <v>86500</v>
      </c>
      <c r="J36" s="6" t="s">
        <v>290</v>
      </c>
      <c r="K36" s="5">
        <v>99475</v>
      </c>
      <c r="N36" s="5"/>
      <c r="O36" s="5">
        <v>61384.74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25052.86</v>
      </c>
      <c r="AA36" s="5"/>
      <c r="AB36" s="5"/>
      <c r="AC36" s="5">
        <v>62.4</v>
      </c>
      <c r="AD36" s="5">
        <f t="shared" si="2"/>
        <v>86500</v>
      </c>
      <c r="AE36" s="5"/>
      <c r="AF36" s="5">
        <f t="shared" si="3"/>
        <v>0</v>
      </c>
    </row>
    <row r="37" spans="2:32">
      <c r="B37" s="1" t="s">
        <v>269</v>
      </c>
      <c r="C37" s="6" t="s">
        <v>291</v>
      </c>
      <c r="D37" s="1" t="s">
        <v>271</v>
      </c>
      <c r="E37" s="1" t="s">
        <v>293</v>
      </c>
      <c r="F37" s="19">
        <v>35017.5</v>
      </c>
      <c r="G37" s="5">
        <f t="shared" si="4"/>
        <v>4567.5</v>
      </c>
      <c r="H37" s="5">
        <f t="shared" si="1"/>
        <v>30450</v>
      </c>
      <c r="J37" s="6" t="s">
        <v>290</v>
      </c>
      <c r="K37" s="5">
        <v>35017.5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30450</v>
      </c>
      <c r="AC37" s="5"/>
      <c r="AD37" s="5">
        <f t="shared" si="2"/>
        <v>30450</v>
      </c>
      <c r="AE37" s="5"/>
      <c r="AF37" s="5">
        <f t="shared" si="3"/>
        <v>0</v>
      </c>
    </row>
    <row r="38" spans="2:32">
      <c r="B38" s="1" t="s">
        <v>269</v>
      </c>
      <c r="C38" s="6" t="s">
        <v>291</v>
      </c>
      <c r="D38" s="1" t="s">
        <v>275</v>
      </c>
      <c r="E38" s="1" t="s">
        <v>294</v>
      </c>
      <c r="F38" s="19">
        <v>11270</v>
      </c>
      <c r="G38" s="5">
        <f t="shared" si="4"/>
        <v>1470</v>
      </c>
      <c r="H38" s="5">
        <f t="shared" si="1"/>
        <v>9800</v>
      </c>
      <c r="J38" s="6" t="s">
        <v>290</v>
      </c>
      <c r="K38" s="5">
        <v>11270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9800</v>
      </c>
      <c r="AC38" s="5"/>
      <c r="AD38" s="5">
        <f t="shared" si="2"/>
        <v>9800</v>
      </c>
      <c r="AE38" s="5"/>
      <c r="AF38" s="5">
        <f t="shared" si="3"/>
        <v>0</v>
      </c>
    </row>
    <row r="39" spans="2:32">
      <c r="B39" s="1" t="s">
        <v>295</v>
      </c>
      <c r="C39" s="6" t="s">
        <v>244</v>
      </c>
      <c r="D39" s="1" t="s">
        <v>296</v>
      </c>
      <c r="E39" s="1" t="s">
        <v>297</v>
      </c>
      <c r="F39" s="19">
        <v>23060.66</v>
      </c>
      <c r="G39" s="5">
        <f t="shared" si="4"/>
        <v>3007.9121739130437</v>
      </c>
      <c r="H39" s="5">
        <f t="shared" si="1"/>
        <v>20052.747826086958</v>
      </c>
      <c r="J39" s="6" t="s">
        <v>290</v>
      </c>
      <c r="K39" s="5">
        <v>23060.66</v>
      </c>
      <c r="N39" s="5">
        <v>6629.4</v>
      </c>
      <c r="O39" s="5"/>
      <c r="P39" s="5"/>
      <c r="Q39" s="5">
        <v>5613.44</v>
      </c>
      <c r="R39" s="5"/>
      <c r="S39" s="5">
        <v>7809.91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f t="shared" si="2"/>
        <v>20052.75</v>
      </c>
      <c r="AE39" s="5"/>
      <c r="AF39" s="5">
        <f t="shared" si="3"/>
        <v>-2.1739130424975883E-3</v>
      </c>
    </row>
    <row r="40" spans="2:32">
      <c r="B40" s="1" t="s">
        <v>295</v>
      </c>
      <c r="C40" s="6" t="s">
        <v>244</v>
      </c>
      <c r="D40" s="1" t="s">
        <v>298</v>
      </c>
      <c r="E40" s="1" t="s">
        <v>299</v>
      </c>
      <c r="F40" s="19">
        <v>23921.38</v>
      </c>
      <c r="G40" s="5">
        <f t="shared" si="4"/>
        <v>3120.1800000000003</v>
      </c>
      <c r="H40" s="5">
        <f t="shared" si="1"/>
        <v>20801.2</v>
      </c>
      <c r="J40" s="6" t="s">
        <v>290</v>
      </c>
      <c r="K40" s="5">
        <v>23921.360000000001</v>
      </c>
      <c r="N40" s="5">
        <v>6629.4</v>
      </c>
      <c r="O40" s="5"/>
      <c r="P40" s="5"/>
      <c r="Q40" s="5">
        <v>5613.44</v>
      </c>
      <c r="R40" s="5"/>
      <c r="S40" s="5">
        <v>8558.36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f t="shared" si="2"/>
        <v>20801.2</v>
      </c>
      <c r="AE40" s="5"/>
      <c r="AF40" s="5">
        <f t="shared" si="3"/>
        <v>0</v>
      </c>
    </row>
    <row r="41" spans="2:32">
      <c r="B41" s="1" t="s">
        <v>295</v>
      </c>
      <c r="C41" s="6" t="s">
        <v>244</v>
      </c>
      <c r="D41" s="1" t="s">
        <v>300</v>
      </c>
      <c r="E41" s="1" t="s">
        <v>301</v>
      </c>
      <c r="F41" s="19">
        <v>26465.7</v>
      </c>
      <c r="G41" s="5">
        <f t="shared" si="4"/>
        <v>3452.0478260869563</v>
      </c>
      <c r="H41" s="5">
        <f t="shared" si="1"/>
        <v>23013.652173913044</v>
      </c>
      <c r="J41" s="6" t="s">
        <v>290</v>
      </c>
      <c r="K41" s="5">
        <v>26465.7</v>
      </c>
      <c r="N41" s="5">
        <v>9281.16</v>
      </c>
      <c r="O41" s="5"/>
      <c r="P41" s="5"/>
      <c r="Q41" s="5">
        <v>5613.44</v>
      </c>
      <c r="R41" s="5"/>
      <c r="S41" s="5">
        <v>8119.05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f t="shared" si="2"/>
        <v>23013.649999999998</v>
      </c>
      <c r="AE41" s="5"/>
      <c r="AF41" s="5">
        <f t="shared" si="3"/>
        <v>2.1739130461355671E-3</v>
      </c>
    </row>
    <row r="42" spans="2:32">
      <c r="B42" s="1" t="s">
        <v>295</v>
      </c>
      <c r="C42" s="6" t="s">
        <v>244</v>
      </c>
      <c r="D42" s="1" t="s">
        <v>302</v>
      </c>
      <c r="E42" s="1" t="s">
        <v>303</v>
      </c>
      <c r="F42" s="19">
        <v>19543.55</v>
      </c>
      <c r="G42" s="5">
        <f t="shared" si="4"/>
        <v>2549.1586956521737</v>
      </c>
      <c r="H42" s="5">
        <f t="shared" si="1"/>
        <v>16994.391304347824</v>
      </c>
      <c r="J42" s="6" t="s">
        <v>290</v>
      </c>
      <c r="K42" s="5">
        <v>19543.349999999999</v>
      </c>
      <c r="N42" s="5">
        <v>3977.64</v>
      </c>
      <c r="O42" s="5"/>
      <c r="P42" s="5"/>
      <c r="Q42" s="5">
        <v>5613.44</v>
      </c>
      <c r="R42" s="5"/>
      <c r="S42" s="5">
        <v>7403.14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>
        <f t="shared" si="2"/>
        <v>16994.22</v>
      </c>
      <c r="AE42" s="5"/>
      <c r="AF42" s="5">
        <f t="shared" si="3"/>
        <v>0.17130434782302473</v>
      </c>
    </row>
    <row r="43" spans="2:32">
      <c r="B43" s="1" t="s">
        <v>295</v>
      </c>
      <c r="C43" s="6" t="s">
        <v>244</v>
      </c>
      <c r="D43" s="1" t="s">
        <v>304</v>
      </c>
      <c r="E43" s="1" t="s">
        <v>305</v>
      </c>
      <c r="F43" s="19">
        <v>25231.200000000001</v>
      </c>
      <c r="G43" s="5">
        <f t="shared" si="4"/>
        <v>3291.0260869565218</v>
      </c>
      <c r="H43" s="5">
        <f t="shared" si="1"/>
        <v>21940.17391304348</v>
      </c>
      <c r="J43" s="6" t="s">
        <v>290</v>
      </c>
      <c r="K43" s="5">
        <v>25231.200000000001</v>
      </c>
      <c r="N43" s="5">
        <v>6629.4</v>
      </c>
      <c r="O43" s="5"/>
      <c r="P43" s="5"/>
      <c r="Q43" s="5">
        <v>6833.75</v>
      </c>
      <c r="R43" s="5"/>
      <c r="S43" s="5">
        <v>8477.02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f t="shared" si="2"/>
        <v>21940.17</v>
      </c>
      <c r="AE43" s="5"/>
      <c r="AF43" s="5">
        <f t="shared" si="3"/>
        <v>3.9130434815888293E-3</v>
      </c>
    </row>
    <row r="44" spans="2:32">
      <c r="B44" s="1" t="s">
        <v>295</v>
      </c>
      <c r="C44" s="6" t="s">
        <v>206</v>
      </c>
      <c r="D44" s="1" t="s">
        <v>306</v>
      </c>
      <c r="E44" s="1" t="s">
        <v>307</v>
      </c>
      <c r="F44" s="19">
        <v>1524.76</v>
      </c>
      <c r="G44" s="5">
        <f t="shared" si="4"/>
        <v>198.8817391304348</v>
      </c>
      <c r="H44" s="5">
        <f t="shared" si="1"/>
        <v>1325.8782608695651</v>
      </c>
      <c r="J44" s="6" t="s">
        <v>290</v>
      </c>
      <c r="K44" s="5">
        <v>1524.76</v>
      </c>
      <c r="N44" s="5">
        <v>1325.88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 t="shared" si="2"/>
        <v>1325.88</v>
      </c>
      <c r="AE44" s="5"/>
      <c r="AF44" s="5">
        <f t="shared" si="3"/>
        <v>-1.7391304349985148E-3</v>
      </c>
    </row>
    <row r="45" spans="2:32">
      <c r="B45" s="1" t="s">
        <v>295</v>
      </c>
      <c r="C45" s="6" t="s">
        <v>308</v>
      </c>
      <c r="D45" s="1" t="s">
        <v>309</v>
      </c>
      <c r="E45" s="1" t="s">
        <v>310</v>
      </c>
      <c r="F45" s="19">
        <v>63732.82</v>
      </c>
      <c r="G45" s="5">
        <f t="shared" si="4"/>
        <v>8312.9765217391305</v>
      </c>
      <c r="H45" s="5">
        <f t="shared" si="1"/>
        <v>55419.843478260867</v>
      </c>
      <c r="J45" s="6" t="s">
        <v>290</v>
      </c>
      <c r="K45" s="5">
        <v>63732.82</v>
      </c>
      <c r="N45" s="5">
        <v>21214.080000000002</v>
      </c>
      <c r="O45" s="5"/>
      <c r="P45" s="5">
        <v>26193.599999999999</v>
      </c>
      <c r="Q45" s="5"/>
      <c r="R45" s="5"/>
      <c r="S45" s="5">
        <v>8012.16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>
        <f t="shared" si="2"/>
        <v>55419.839999999997</v>
      </c>
      <c r="AE45" s="5"/>
      <c r="AF45" s="5">
        <f t="shared" si="3"/>
        <v>3.4782608709065244E-3</v>
      </c>
    </row>
    <row r="46" spans="2:32">
      <c r="B46" s="1" t="s">
        <v>295</v>
      </c>
      <c r="C46" s="6" t="s">
        <v>206</v>
      </c>
      <c r="D46" s="1" t="s">
        <v>302</v>
      </c>
      <c r="E46" s="1" t="s">
        <v>311</v>
      </c>
      <c r="F46" s="19">
        <v>22690.86</v>
      </c>
      <c r="G46" s="5">
        <f t="shared" si="4"/>
        <v>2959.677391304348</v>
      </c>
      <c r="H46" s="5">
        <f t="shared" si="1"/>
        <v>19731.182608695653</v>
      </c>
      <c r="J46" s="6" t="s">
        <v>290</v>
      </c>
      <c r="K46" s="5">
        <v>22690.86</v>
      </c>
      <c r="N46" s="5">
        <v>8618.2199999999993</v>
      </c>
      <c r="O46" s="5"/>
      <c r="P46" s="5"/>
      <c r="Q46" s="5">
        <v>3823.64</v>
      </c>
      <c r="R46" s="5"/>
      <c r="S46" s="5">
        <v>7289.32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f t="shared" si="2"/>
        <v>19731.18</v>
      </c>
      <c r="AE46" s="5"/>
      <c r="AF46" s="5">
        <f t="shared" si="3"/>
        <v>2.6086956531798933E-3</v>
      </c>
    </row>
    <row r="47" spans="2:32">
      <c r="B47" s="1" t="s">
        <v>295</v>
      </c>
      <c r="C47" s="6" t="s">
        <v>206</v>
      </c>
      <c r="D47" s="1" t="s">
        <v>300</v>
      </c>
      <c r="E47" s="1" t="s">
        <v>312</v>
      </c>
      <c r="F47" s="19">
        <v>22690.86</v>
      </c>
      <c r="G47" s="5">
        <f t="shared" si="4"/>
        <v>2959.677391304348</v>
      </c>
      <c r="H47" s="5">
        <f t="shared" si="1"/>
        <v>19731.182608695653</v>
      </c>
      <c r="J47" s="6" t="s">
        <v>290</v>
      </c>
      <c r="K47" s="5">
        <v>22690.86</v>
      </c>
      <c r="N47" s="5">
        <v>8618.2199999999993</v>
      </c>
      <c r="O47" s="5"/>
      <c r="P47" s="5"/>
      <c r="Q47" s="5">
        <v>3823.64</v>
      </c>
      <c r="R47" s="5"/>
      <c r="S47" s="5">
        <v>7289.32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f t="shared" si="2"/>
        <v>19731.18</v>
      </c>
      <c r="AE47" s="5"/>
      <c r="AF47" s="5">
        <f t="shared" si="3"/>
        <v>2.6086956531798933E-3</v>
      </c>
    </row>
    <row r="48" spans="2:32">
      <c r="B48" s="1" t="s">
        <v>295</v>
      </c>
      <c r="C48" s="6" t="s">
        <v>206</v>
      </c>
      <c r="D48" s="1" t="s">
        <v>298</v>
      </c>
      <c r="E48" s="1" t="s">
        <v>313</v>
      </c>
      <c r="F48" s="19">
        <v>22690.86</v>
      </c>
      <c r="G48" s="5">
        <f t="shared" si="4"/>
        <v>2959.677391304348</v>
      </c>
      <c r="H48" s="5">
        <f t="shared" si="1"/>
        <v>19731.182608695653</v>
      </c>
      <c r="J48" s="6" t="s">
        <v>290</v>
      </c>
      <c r="K48" s="5">
        <v>22690.86</v>
      </c>
      <c r="N48" s="5">
        <v>8618.2199999999993</v>
      </c>
      <c r="O48" s="5"/>
      <c r="P48" s="5"/>
      <c r="Q48" s="5">
        <v>3823.64</v>
      </c>
      <c r="R48" s="5"/>
      <c r="S48" s="5">
        <v>7289.32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f t="shared" si="2"/>
        <v>19731.18</v>
      </c>
      <c r="AE48" s="5"/>
      <c r="AF48" s="5">
        <f t="shared" si="3"/>
        <v>2.6086956531798933E-3</v>
      </c>
    </row>
    <row r="49" spans="2:32">
      <c r="B49" s="1" t="s">
        <v>295</v>
      </c>
      <c r="C49" s="6" t="s">
        <v>206</v>
      </c>
      <c r="D49" s="1" t="s">
        <v>296</v>
      </c>
      <c r="E49" s="1" t="s">
        <v>314</v>
      </c>
      <c r="F49" s="19">
        <v>21166.1</v>
      </c>
      <c r="G49" s="5">
        <f t="shared" si="4"/>
        <v>2760.7956521739129</v>
      </c>
      <c r="H49" s="5">
        <f t="shared" si="1"/>
        <v>18405.304347826084</v>
      </c>
      <c r="J49" s="6" t="s">
        <v>290</v>
      </c>
      <c r="K49" s="5">
        <v>21166.1</v>
      </c>
      <c r="N49" s="5">
        <v>7292.34</v>
      </c>
      <c r="O49" s="5"/>
      <c r="P49" s="5"/>
      <c r="Q49" s="5">
        <v>3823.64</v>
      </c>
      <c r="R49" s="5"/>
      <c r="S49" s="5">
        <v>7289.32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f t="shared" si="2"/>
        <v>18405.3</v>
      </c>
      <c r="AE49" s="5"/>
      <c r="AF49" s="5">
        <f t="shared" si="3"/>
        <v>4.3478260849951766E-3</v>
      </c>
    </row>
    <row r="50" spans="2:32">
      <c r="B50" s="1" t="s">
        <v>295</v>
      </c>
      <c r="C50" s="6" t="s">
        <v>315</v>
      </c>
      <c r="D50" s="1" t="s">
        <v>309</v>
      </c>
      <c r="E50" s="1" t="s">
        <v>316</v>
      </c>
      <c r="F50" s="19">
        <v>88436.2</v>
      </c>
      <c r="G50" s="5">
        <f t="shared" si="4"/>
        <v>11535.156521739131</v>
      </c>
      <c r="H50" s="5">
        <f t="shared" si="1"/>
        <v>76901.043478260865</v>
      </c>
      <c r="J50" s="6" t="s">
        <v>290</v>
      </c>
      <c r="K50" s="5">
        <v>88436.2</v>
      </c>
      <c r="N50" s="5">
        <v>76901.039999999994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 t="shared" si="2"/>
        <v>76901.039999999994</v>
      </c>
      <c r="AE50" s="5"/>
      <c r="AF50" s="5">
        <f t="shared" si="3"/>
        <v>3.4782608709065244E-3</v>
      </c>
    </row>
    <row r="51" spans="2:32">
      <c r="B51" s="1" t="s">
        <v>295</v>
      </c>
      <c r="C51" s="6" t="s">
        <v>315</v>
      </c>
      <c r="D51" s="1" t="s">
        <v>304</v>
      </c>
      <c r="E51" s="1" t="s">
        <v>317</v>
      </c>
      <c r="F51" s="19">
        <v>6904.51</v>
      </c>
      <c r="G51" s="5">
        <f t="shared" si="4"/>
        <v>900.58826086956526</v>
      </c>
      <c r="H51" s="5">
        <f t="shared" si="1"/>
        <v>6003.9217391304346</v>
      </c>
      <c r="J51" s="6" t="s">
        <v>290</v>
      </c>
      <c r="K51" s="5">
        <v>6904.51</v>
      </c>
      <c r="N51" s="5"/>
      <c r="O51" s="5"/>
      <c r="P51" s="5"/>
      <c r="Q51" s="5">
        <v>1171.49</v>
      </c>
      <c r="R51" s="5"/>
      <c r="S51" s="5">
        <v>4832.43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f t="shared" si="2"/>
        <v>6003.92</v>
      </c>
      <c r="AE51" s="5"/>
      <c r="AF51" s="5">
        <f t="shared" si="3"/>
        <v>1.7391304345437675E-3</v>
      </c>
    </row>
    <row r="52" spans="2:32">
      <c r="B52" s="1" t="s">
        <v>295</v>
      </c>
      <c r="C52" s="6" t="s">
        <v>315</v>
      </c>
      <c r="D52" s="1" t="s">
        <v>302</v>
      </c>
      <c r="E52" s="1" t="s">
        <v>318</v>
      </c>
      <c r="F52" s="19">
        <v>2750.57</v>
      </c>
      <c r="G52" s="5">
        <f t="shared" si="4"/>
        <v>358.77000000000004</v>
      </c>
      <c r="H52" s="5">
        <f t="shared" si="1"/>
        <v>2391.8000000000002</v>
      </c>
      <c r="J52" s="6" t="s">
        <v>290</v>
      </c>
      <c r="K52" s="5">
        <v>2750.57</v>
      </c>
      <c r="N52" s="5"/>
      <c r="O52" s="5"/>
      <c r="P52" s="5"/>
      <c r="Q52" s="5">
        <v>1171.49</v>
      </c>
      <c r="R52" s="5"/>
      <c r="S52" s="5">
        <v>1220.31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f t="shared" si="2"/>
        <v>2391.8000000000002</v>
      </c>
      <c r="AE52" s="5"/>
      <c r="AF52" s="5">
        <f t="shared" si="3"/>
        <v>0</v>
      </c>
    </row>
    <row r="53" spans="2:32">
      <c r="B53" s="1" t="s">
        <v>295</v>
      </c>
      <c r="C53" s="6" t="s">
        <v>315</v>
      </c>
      <c r="D53" s="1" t="s">
        <v>300</v>
      </c>
      <c r="E53" s="1" t="s">
        <v>319</v>
      </c>
      <c r="F53" s="19">
        <v>2282.7800000000002</v>
      </c>
      <c r="G53" s="5">
        <f t="shared" si="4"/>
        <v>297.75391304347829</v>
      </c>
      <c r="H53" s="5">
        <f t="shared" si="1"/>
        <v>1985.0260869565218</v>
      </c>
      <c r="J53" s="6" t="s">
        <v>290</v>
      </c>
      <c r="K53" s="5">
        <v>2282.7800000000002</v>
      </c>
      <c r="N53" s="5"/>
      <c r="O53" s="5"/>
      <c r="P53" s="5"/>
      <c r="Q53" s="5">
        <v>1171.49</v>
      </c>
      <c r="R53" s="5"/>
      <c r="S53" s="5">
        <v>813.54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 t="shared" si="2"/>
        <v>1985.03</v>
      </c>
      <c r="AE53" s="5"/>
      <c r="AF53" s="5">
        <f t="shared" si="3"/>
        <v>-3.9130434781782242E-3</v>
      </c>
    </row>
    <row r="54" spans="2:32">
      <c r="B54" s="1" t="s">
        <v>295</v>
      </c>
      <c r="C54" s="6" t="s">
        <v>315</v>
      </c>
      <c r="D54" s="1" t="s">
        <v>298</v>
      </c>
      <c r="E54" s="1" t="s">
        <v>320</v>
      </c>
      <c r="F54" s="19">
        <v>2750.57</v>
      </c>
      <c r="G54" s="5">
        <f t="shared" si="4"/>
        <v>358.77000000000004</v>
      </c>
      <c r="H54" s="5">
        <f t="shared" si="1"/>
        <v>2391.8000000000002</v>
      </c>
      <c r="J54" s="6" t="s">
        <v>290</v>
      </c>
      <c r="K54" s="5">
        <v>2750.57</v>
      </c>
      <c r="N54" s="5"/>
      <c r="O54" s="5"/>
      <c r="P54" s="5"/>
      <c r="Q54" s="5">
        <v>1171.49</v>
      </c>
      <c r="R54" s="5"/>
      <c r="S54" s="5">
        <v>1220.31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>
        <f t="shared" si="2"/>
        <v>2391.8000000000002</v>
      </c>
      <c r="AE54" s="5"/>
      <c r="AF54" s="5">
        <f t="shared" si="3"/>
        <v>0</v>
      </c>
    </row>
    <row r="55" spans="2:32">
      <c r="B55" s="1" t="s">
        <v>295</v>
      </c>
      <c r="C55" s="6" t="s">
        <v>315</v>
      </c>
      <c r="D55" s="1" t="s">
        <v>296</v>
      </c>
      <c r="E55" s="1" t="s">
        <v>321</v>
      </c>
      <c r="F55" s="19">
        <v>2750.57</v>
      </c>
      <c r="G55" s="5">
        <f t="shared" si="4"/>
        <v>358.77000000000004</v>
      </c>
      <c r="H55" s="5">
        <f t="shared" si="1"/>
        <v>2391.8000000000002</v>
      </c>
      <c r="J55" s="6" t="s">
        <v>290</v>
      </c>
      <c r="K55" s="5">
        <v>2750.57</v>
      </c>
      <c r="N55" s="5"/>
      <c r="O55" s="5"/>
      <c r="P55" s="5"/>
      <c r="Q55" s="5">
        <v>1171.49</v>
      </c>
      <c r="R55" s="5"/>
      <c r="S55" s="5">
        <v>1220.31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>
        <f t="shared" si="2"/>
        <v>2391.8000000000002</v>
      </c>
      <c r="AE55" s="5"/>
      <c r="AF55" s="5">
        <f t="shared" si="3"/>
        <v>0</v>
      </c>
    </row>
    <row r="56" spans="2:32">
      <c r="B56" s="1" t="s">
        <v>322</v>
      </c>
      <c r="C56" s="6" t="s">
        <v>323</v>
      </c>
      <c r="D56" s="1" t="s">
        <v>324</v>
      </c>
      <c r="E56" s="1" t="s">
        <v>325</v>
      </c>
      <c r="F56" s="19">
        <v>69000</v>
      </c>
      <c r="G56" s="5">
        <f t="shared" si="4"/>
        <v>9000</v>
      </c>
      <c r="H56" s="5">
        <f t="shared" si="1"/>
        <v>60000</v>
      </c>
      <c r="J56" s="6" t="s">
        <v>257</v>
      </c>
      <c r="K56" s="5">
        <v>69000</v>
      </c>
      <c r="N56" s="5"/>
      <c r="O56" s="5"/>
      <c r="P56" s="5"/>
      <c r="Q56" s="5">
        <v>18000</v>
      </c>
      <c r="R56" s="5"/>
      <c r="S56" s="5"/>
      <c r="T56" s="5"/>
      <c r="U56" s="5"/>
      <c r="V56" s="5"/>
      <c r="W56" s="5"/>
      <c r="X56" s="5"/>
      <c r="Y56" s="5"/>
      <c r="Z56" s="5"/>
      <c r="AA56" s="5">
        <v>42000</v>
      </c>
      <c r="AB56" s="5"/>
      <c r="AC56" s="5"/>
      <c r="AD56" s="5">
        <f t="shared" ref="AD56:AD85" si="5">SUM(N56:AC56)</f>
        <v>60000</v>
      </c>
      <c r="AE56" s="5"/>
      <c r="AF56" s="5">
        <f t="shared" ref="AF56:AF85" si="6">H56-AD56</f>
        <v>0</v>
      </c>
    </row>
    <row r="57" spans="2:32">
      <c r="B57" s="1" t="s">
        <v>326</v>
      </c>
      <c r="C57" s="6" t="s">
        <v>327</v>
      </c>
      <c r="D57" s="1" t="s">
        <v>255</v>
      </c>
      <c r="E57" s="1" t="s">
        <v>328</v>
      </c>
      <c r="F57" s="19">
        <v>34500</v>
      </c>
      <c r="G57" s="5">
        <f t="shared" si="4"/>
        <v>4500</v>
      </c>
      <c r="H57" s="5">
        <f t="shared" si="1"/>
        <v>30000</v>
      </c>
      <c r="J57" s="6" t="s">
        <v>273</v>
      </c>
      <c r="K57" s="5">
        <v>34500</v>
      </c>
      <c r="N57" s="5">
        <v>3000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>
        <f t="shared" si="5"/>
        <v>3000</v>
      </c>
      <c r="AE57" s="5"/>
      <c r="AF57" s="5">
        <f t="shared" si="6"/>
        <v>27000</v>
      </c>
    </row>
    <row r="58" spans="2:32">
      <c r="B58" s="1" t="s">
        <v>329</v>
      </c>
      <c r="C58" s="6" t="s">
        <v>330</v>
      </c>
      <c r="D58" s="1" t="s">
        <v>331</v>
      </c>
      <c r="E58" s="1" t="s">
        <v>332</v>
      </c>
      <c r="F58" s="5">
        <v>34500</v>
      </c>
      <c r="G58" s="5">
        <f t="shared" si="4"/>
        <v>4500</v>
      </c>
      <c r="H58" s="5">
        <f t="shared" si="1"/>
        <v>30000</v>
      </c>
      <c r="J58" s="6" t="s">
        <v>333</v>
      </c>
      <c r="K58" s="5">
        <v>34500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f t="shared" si="5"/>
        <v>0</v>
      </c>
      <c r="AE58" s="5"/>
      <c r="AF58" s="5">
        <f t="shared" si="6"/>
        <v>30000</v>
      </c>
    </row>
    <row r="59" spans="2:32">
      <c r="B59" s="1" t="s">
        <v>334</v>
      </c>
      <c r="C59" s="6" t="s">
        <v>330</v>
      </c>
      <c r="D59" s="1" t="s">
        <v>335</v>
      </c>
      <c r="E59" s="1" t="s">
        <v>336</v>
      </c>
      <c r="F59" s="5">
        <v>34500</v>
      </c>
      <c r="G59" s="5">
        <f t="shared" si="4"/>
        <v>4500</v>
      </c>
      <c r="H59" s="5">
        <f t="shared" si="1"/>
        <v>30000</v>
      </c>
      <c r="J59" s="6" t="s">
        <v>290</v>
      </c>
      <c r="K59" s="5">
        <v>34500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>
        <f t="shared" si="5"/>
        <v>0</v>
      </c>
      <c r="AE59" s="5"/>
      <c r="AF59" s="5">
        <f t="shared" si="6"/>
        <v>30000</v>
      </c>
    </row>
    <row r="60" spans="2:32">
      <c r="B60" s="1" t="s">
        <v>337</v>
      </c>
      <c r="C60" s="6" t="s">
        <v>327</v>
      </c>
      <c r="D60" s="1" t="s">
        <v>338</v>
      </c>
      <c r="E60" s="1" t="s">
        <v>339</v>
      </c>
      <c r="F60" s="5">
        <v>75935.08</v>
      </c>
      <c r="G60" s="5">
        <f t="shared" si="4"/>
        <v>9904.5756521739131</v>
      </c>
      <c r="H60" s="5">
        <f t="shared" si="1"/>
        <v>66030.504347826092</v>
      </c>
      <c r="J60" s="6" t="s">
        <v>340</v>
      </c>
      <c r="K60" s="5">
        <v>75935.08</v>
      </c>
      <c r="N60" s="5">
        <v>35750</v>
      </c>
      <c r="O60" s="5"/>
      <c r="P60" s="5"/>
      <c r="Q60" s="5">
        <v>30000</v>
      </c>
      <c r="R60" s="5"/>
      <c r="S60" s="5"/>
      <c r="T60" s="5"/>
      <c r="U60" s="5"/>
      <c r="V60" s="5"/>
      <c r="W60" s="5"/>
      <c r="X60" s="5">
        <v>280.5</v>
      </c>
      <c r="Y60" s="5"/>
      <c r="Z60" s="5"/>
      <c r="AA60" s="5"/>
      <c r="AB60" s="5"/>
      <c r="AC60" s="5"/>
      <c r="AD60" s="5">
        <f t="shared" si="5"/>
        <v>66030.5</v>
      </c>
      <c r="AE60" s="5"/>
      <c r="AF60" s="5">
        <f t="shared" si="6"/>
        <v>4.3478260922711343E-3</v>
      </c>
    </row>
    <row r="61" spans="2:32">
      <c r="B61" s="1" t="s">
        <v>341</v>
      </c>
      <c r="C61" s="6" t="s">
        <v>240</v>
      </c>
      <c r="D61" s="1" t="s">
        <v>342</v>
      </c>
      <c r="E61" s="1" t="s">
        <v>343</v>
      </c>
      <c r="F61" s="5">
        <v>27000</v>
      </c>
      <c r="G61" s="5">
        <f t="shared" si="4"/>
        <v>3521.7391304347825</v>
      </c>
      <c r="H61" s="5">
        <f t="shared" si="1"/>
        <v>23478.260869565216</v>
      </c>
      <c r="J61" s="6" t="s">
        <v>344</v>
      </c>
      <c r="K61" s="5">
        <v>27000</v>
      </c>
      <c r="N61" s="5"/>
      <c r="O61" s="5"/>
      <c r="P61" s="5"/>
      <c r="Q61" s="5"/>
      <c r="R61" s="5"/>
      <c r="S61" s="5"/>
      <c r="T61" s="5"/>
      <c r="U61" s="5"/>
      <c r="V61" s="5">
        <v>23478.26</v>
      </c>
      <c r="W61" s="5"/>
      <c r="X61" s="5"/>
      <c r="Y61" s="5"/>
      <c r="Z61" s="5"/>
      <c r="AA61" s="5"/>
      <c r="AB61" s="5"/>
      <c r="AC61" s="5"/>
      <c r="AD61" s="5">
        <f t="shared" si="5"/>
        <v>23478.26</v>
      </c>
      <c r="AE61" s="5"/>
      <c r="AF61" s="5">
        <f t="shared" si="6"/>
        <v>8.6956521772663109E-4</v>
      </c>
    </row>
    <row r="62" spans="2:32">
      <c r="B62" s="1" t="s">
        <v>243</v>
      </c>
      <c r="C62" s="6" t="s">
        <v>345</v>
      </c>
      <c r="D62" s="1" t="s">
        <v>346</v>
      </c>
      <c r="E62" s="1" t="s">
        <v>347</v>
      </c>
      <c r="F62" s="5">
        <v>2716.08</v>
      </c>
      <c r="G62" s="5">
        <f t="shared" si="4"/>
        <v>354.27130434782606</v>
      </c>
      <c r="H62" s="5">
        <f t="shared" si="1"/>
        <v>2361.8086956521738</v>
      </c>
      <c r="J62" s="6" t="s">
        <v>348</v>
      </c>
      <c r="K62" s="5">
        <v>2716.08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>
        <v>2361.81</v>
      </c>
      <c r="AC62" s="5"/>
      <c r="AD62" s="5">
        <f t="shared" si="5"/>
        <v>2361.81</v>
      </c>
      <c r="AE62" s="5"/>
      <c r="AF62" s="5">
        <f t="shared" si="6"/>
        <v>-1.3043478261351993E-3</v>
      </c>
    </row>
    <row r="63" spans="2:32">
      <c r="B63" s="1" t="s">
        <v>243</v>
      </c>
      <c r="C63" s="6" t="s">
        <v>349</v>
      </c>
      <c r="D63" s="1" t="s">
        <v>350</v>
      </c>
      <c r="E63" s="1" t="s">
        <v>351</v>
      </c>
      <c r="F63" s="5">
        <v>76187.5</v>
      </c>
      <c r="G63" s="5">
        <f t="shared" si="4"/>
        <v>9937.5</v>
      </c>
      <c r="H63" s="5">
        <f t="shared" si="1"/>
        <v>66250</v>
      </c>
      <c r="J63" s="6" t="s">
        <v>348</v>
      </c>
      <c r="K63" s="5">
        <v>76187.5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>
        <v>66250</v>
      </c>
      <c r="AC63" s="5"/>
      <c r="AD63" s="5">
        <f t="shared" si="5"/>
        <v>66250</v>
      </c>
      <c r="AE63" s="5"/>
      <c r="AF63" s="5">
        <f t="shared" si="6"/>
        <v>0</v>
      </c>
    </row>
    <row r="64" spans="2:32">
      <c r="B64" s="1" t="s">
        <v>243</v>
      </c>
      <c r="C64" s="6" t="s">
        <v>218</v>
      </c>
      <c r="D64" s="1" t="s">
        <v>350</v>
      </c>
      <c r="E64" s="1" t="s">
        <v>352</v>
      </c>
      <c r="F64" s="5">
        <v>459715.96</v>
      </c>
      <c r="G64" s="5">
        <f t="shared" si="4"/>
        <v>59962.951304347829</v>
      </c>
      <c r="H64" s="5">
        <f t="shared" si="1"/>
        <v>399753.00869565218</v>
      </c>
      <c r="J64" s="6" t="s">
        <v>348</v>
      </c>
      <c r="K64" s="5">
        <v>459715.96</v>
      </c>
      <c r="N64" s="5">
        <v>147754.6</v>
      </c>
      <c r="O64" s="5">
        <v>59230.879999999997</v>
      </c>
      <c r="P64" s="5">
        <v>84000.66</v>
      </c>
      <c r="Q64" s="5"/>
      <c r="R64" s="5"/>
      <c r="S64" s="5">
        <v>59670.62</v>
      </c>
      <c r="T64" s="5"/>
      <c r="U64" s="5"/>
      <c r="V64" s="5"/>
      <c r="W64" s="5"/>
      <c r="X64" s="5"/>
      <c r="Y64" s="5"/>
      <c r="Z64" s="5">
        <v>49096.25</v>
      </c>
      <c r="AA64" s="5"/>
      <c r="AB64" s="5"/>
      <c r="AC64" s="5"/>
      <c r="AD64" s="5">
        <f t="shared" si="5"/>
        <v>399753.01</v>
      </c>
      <c r="AE64" s="5"/>
      <c r="AF64" s="5">
        <f t="shared" si="6"/>
        <v>-1.3043478247709572E-3</v>
      </c>
    </row>
    <row r="65" spans="2:32">
      <c r="B65" s="1" t="s">
        <v>243</v>
      </c>
      <c r="C65" s="6" t="s">
        <v>353</v>
      </c>
      <c r="D65" s="1" t="s">
        <v>350</v>
      </c>
      <c r="E65" s="1" t="s">
        <v>354</v>
      </c>
      <c r="F65" s="5">
        <v>179400</v>
      </c>
      <c r="G65" s="5">
        <f t="shared" ref="G65:G104" si="7">F65*15/115</f>
        <v>23400</v>
      </c>
      <c r="H65" s="5">
        <f t="shared" si="1"/>
        <v>156000</v>
      </c>
      <c r="J65" s="6" t="s">
        <v>348</v>
      </c>
      <c r="K65" s="5">
        <v>179400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>
        <v>156000</v>
      </c>
      <c r="AC65" s="5"/>
      <c r="AD65" s="5">
        <f t="shared" si="5"/>
        <v>156000</v>
      </c>
      <c r="AE65" s="5"/>
      <c r="AF65" s="5">
        <f t="shared" si="6"/>
        <v>0</v>
      </c>
    </row>
    <row r="66" spans="2:32">
      <c r="B66" s="1" t="s">
        <v>243</v>
      </c>
      <c r="C66" s="6" t="s">
        <v>265</v>
      </c>
      <c r="D66" s="1" t="s">
        <v>350</v>
      </c>
      <c r="E66" s="1" t="s">
        <v>355</v>
      </c>
      <c r="F66" s="5">
        <v>88550</v>
      </c>
      <c r="G66" s="5">
        <f t="shared" si="7"/>
        <v>11550</v>
      </c>
      <c r="H66" s="5">
        <f t="shared" si="1"/>
        <v>77000</v>
      </c>
      <c r="J66" s="6" t="s">
        <v>348</v>
      </c>
      <c r="K66" s="5">
        <v>88550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>
        <v>77000</v>
      </c>
      <c r="AC66" s="5"/>
      <c r="AD66" s="5">
        <f t="shared" si="5"/>
        <v>77000</v>
      </c>
      <c r="AE66" s="5"/>
      <c r="AF66" s="5">
        <f t="shared" si="6"/>
        <v>0</v>
      </c>
    </row>
    <row r="67" spans="2:32">
      <c r="B67" s="1" t="s">
        <v>243</v>
      </c>
      <c r="C67" s="6" t="s">
        <v>356</v>
      </c>
      <c r="D67" s="1" t="s">
        <v>350</v>
      </c>
      <c r="E67" s="1" t="s">
        <v>357</v>
      </c>
      <c r="F67" s="5">
        <v>87975</v>
      </c>
      <c r="G67" s="5">
        <f t="shared" si="7"/>
        <v>11475</v>
      </c>
      <c r="H67" s="5">
        <f t="shared" si="1"/>
        <v>76500</v>
      </c>
      <c r="J67" s="6" t="s">
        <v>348</v>
      </c>
      <c r="K67" s="5">
        <v>87975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>
        <v>76500</v>
      </c>
      <c r="AC67" s="5"/>
      <c r="AD67" s="5">
        <f t="shared" si="5"/>
        <v>76500</v>
      </c>
      <c r="AE67" s="5"/>
      <c r="AF67" s="5">
        <f t="shared" si="6"/>
        <v>0</v>
      </c>
    </row>
    <row r="68" spans="2:32">
      <c r="B68" s="1" t="s">
        <v>235</v>
      </c>
      <c r="C68" s="6" t="s">
        <v>240</v>
      </c>
      <c r="D68" s="1" t="s">
        <v>237</v>
      </c>
      <c r="E68" s="1" t="s">
        <v>358</v>
      </c>
      <c r="F68" s="5">
        <v>1910.15</v>
      </c>
      <c r="G68" s="5">
        <f t="shared" si="7"/>
        <v>249.15</v>
      </c>
      <c r="H68" s="5">
        <f t="shared" si="1"/>
        <v>1661</v>
      </c>
      <c r="J68" s="6" t="s">
        <v>359</v>
      </c>
      <c r="K68" s="5">
        <v>1910.15</v>
      </c>
      <c r="N68" s="5"/>
      <c r="O68" s="5"/>
      <c r="P68" s="5"/>
      <c r="Q68" s="5">
        <v>1650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>
        <v>11</v>
      </c>
      <c r="AD68" s="5">
        <f t="shared" si="5"/>
        <v>1661</v>
      </c>
      <c r="AE68" s="5"/>
      <c r="AF68" s="5">
        <f t="shared" si="6"/>
        <v>0</v>
      </c>
    </row>
    <row r="69" spans="2:32">
      <c r="B69" s="1" t="s">
        <v>228</v>
      </c>
      <c r="C69" s="6" t="s">
        <v>240</v>
      </c>
      <c r="D69" s="1" t="s">
        <v>360</v>
      </c>
      <c r="E69" s="1" t="s">
        <v>361</v>
      </c>
      <c r="F69" s="5">
        <v>11068.75</v>
      </c>
      <c r="G69" s="5">
        <f t="shared" si="7"/>
        <v>1443.75</v>
      </c>
      <c r="H69" s="5">
        <f t="shared" si="1"/>
        <v>9625</v>
      </c>
      <c r="J69" s="6" t="s">
        <v>359</v>
      </c>
      <c r="K69" s="5">
        <v>11068.75</v>
      </c>
      <c r="N69" s="5"/>
      <c r="O69" s="5"/>
      <c r="P69" s="5"/>
      <c r="Q69" s="5"/>
      <c r="R69" s="5"/>
      <c r="S69" s="5"/>
      <c r="T69" s="5"/>
      <c r="U69" s="5"/>
      <c r="V69" s="5">
        <v>9625</v>
      </c>
      <c r="W69" s="5"/>
      <c r="X69" s="5"/>
      <c r="Y69" s="5"/>
      <c r="Z69" s="5"/>
      <c r="AA69" s="5"/>
      <c r="AB69" s="5"/>
      <c r="AC69" s="5"/>
      <c r="AD69" s="5">
        <f t="shared" si="5"/>
        <v>9625</v>
      </c>
      <c r="AE69" s="5"/>
      <c r="AF69" s="5">
        <f t="shared" si="6"/>
        <v>0</v>
      </c>
    </row>
    <row r="70" spans="2:32">
      <c r="B70" s="47" t="s">
        <v>232</v>
      </c>
      <c r="C70" s="46"/>
      <c r="D70" s="47"/>
      <c r="E70" s="47"/>
      <c r="F70" s="48">
        <v>353625</v>
      </c>
      <c r="G70" s="49">
        <v>0</v>
      </c>
      <c r="H70" s="49">
        <v>223475</v>
      </c>
      <c r="I70" s="47"/>
      <c r="J70" s="46" t="s">
        <v>359</v>
      </c>
      <c r="K70" s="49">
        <v>223475</v>
      </c>
      <c r="N70" s="5"/>
      <c r="O70" s="5">
        <v>159250</v>
      </c>
      <c r="P70" s="5">
        <v>46825</v>
      </c>
      <c r="Q70" s="5"/>
      <c r="R70" s="5"/>
      <c r="S70" s="5"/>
      <c r="T70" s="5"/>
      <c r="U70" s="5"/>
      <c r="V70" s="5">
        <v>17400</v>
      </c>
      <c r="W70" s="5"/>
      <c r="X70" s="5"/>
      <c r="Y70" s="5"/>
      <c r="Z70" s="5"/>
      <c r="AA70" s="5"/>
      <c r="AB70" s="5"/>
      <c r="AC70" s="5"/>
      <c r="AD70" s="5">
        <f t="shared" si="5"/>
        <v>223475</v>
      </c>
      <c r="AE70" s="5"/>
      <c r="AF70" s="5">
        <f t="shared" si="6"/>
        <v>0</v>
      </c>
    </row>
    <row r="71" spans="2:32">
      <c r="B71" s="1" t="s">
        <v>362</v>
      </c>
      <c r="C71" s="6" t="s">
        <v>240</v>
      </c>
      <c r="D71" s="1" t="s">
        <v>363</v>
      </c>
      <c r="E71" s="1" t="s">
        <v>364</v>
      </c>
      <c r="F71" s="5">
        <v>200000</v>
      </c>
      <c r="G71" s="5">
        <f t="shared" si="7"/>
        <v>26086.956521739132</v>
      </c>
      <c r="H71" s="5">
        <f t="shared" si="1"/>
        <v>173913.04347826086</v>
      </c>
      <c r="J71" s="6" t="s">
        <v>365</v>
      </c>
      <c r="K71" s="5">
        <v>200000</v>
      </c>
      <c r="N71" s="5">
        <v>43158.239999999998</v>
      </c>
      <c r="O71" s="5"/>
      <c r="P71" s="5"/>
      <c r="Q71" s="5">
        <v>116500</v>
      </c>
      <c r="R71" s="5"/>
      <c r="S71" s="5"/>
      <c r="T71" s="5"/>
      <c r="U71" s="5"/>
      <c r="V71" s="5"/>
      <c r="W71" s="5"/>
      <c r="X71" s="5">
        <v>11440</v>
      </c>
      <c r="Y71" s="5"/>
      <c r="Z71" s="5"/>
      <c r="AA71" s="5"/>
      <c r="AB71" s="5"/>
      <c r="AC71" s="5">
        <v>2814.8</v>
      </c>
      <c r="AD71" s="5">
        <f t="shared" si="5"/>
        <v>173913.03999999998</v>
      </c>
      <c r="AE71" s="5"/>
      <c r="AF71" s="5">
        <f t="shared" si="6"/>
        <v>3.4782608854584396E-3</v>
      </c>
    </row>
    <row r="72" spans="2:32">
      <c r="C72" s="6"/>
      <c r="F72" s="5"/>
      <c r="G72" s="5">
        <f t="shared" si="7"/>
        <v>0</v>
      </c>
      <c r="H72" s="5">
        <f t="shared" si="1"/>
        <v>0</v>
      </c>
      <c r="J72" s="6"/>
      <c r="K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f t="shared" si="5"/>
        <v>0</v>
      </c>
      <c r="AE72" s="5"/>
      <c r="AF72" s="5">
        <f t="shared" si="6"/>
        <v>0</v>
      </c>
    </row>
    <row r="73" spans="2:32">
      <c r="C73" s="6"/>
      <c r="F73" s="5"/>
      <c r="G73" s="5">
        <f t="shared" si="7"/>
        <v>0</v>
      </c>
      <c r="H73" s="5">
        <f t="shared" si="1"/>
        <v>0</v>
      </c>
      <c r="J73" s="6"/>
      <c r="K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>
        <f t="shared" si="5"/>
        <v>0</v>
      </c>
      <c r="AE73" s="5"/>
      <c r="AF73" s="5">
        <f t="shared" si="6"/>
        <v>0</v>
      </c>
    </row>
    <row r="74" spans="2:32">
      <c r="C74" s="6"/>
      <c r="F74" s="5"/>
      <c r="G74" s="5">
        <f t="shared" si="7"/>
        <v>0</v>
      </c>
      <c r="H74" s="5">
        <f t="shared" si="1"/>
        <v>0</v>
      </c>
      <c r="J74" s="6"/>
      <c r="K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>
        <f t="shared" si="5"/>
        <v>0</v>
      </c>
      <c r="AE74" s="5"/>
      <c r="AF74" s="5">
        <f t="shared" si="6"/>
        <v>0</v>
      </c>
    </row>
    <row r="75" spans="2:32">
      <c r="C75" s="6"/>
      <c r="F75" s="5"/>
      <c r="G75" s="5">
        <f t="shared" si="7"/>
        <v>0</v>
      </c>
      <c r="H75" s="5">
        <f t="shared" si="1"/>
        <v>0</v>
      </c>
      <c r="J75" s="6"/>
      <c r="K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>
        <f t="shared" si="5"/>
        <v>0</v>
      </c>
      <c r="AE75" s="5"/>
      <c r="AF75" s="5">
        <f t="shared" si="6"/>
        <v>0</v>
      </c>
    </row>
    <row r="76" spans="2:32">
      <c r="C76" s="6"/>
      <c r="F76" s="5"/>
      <c r="G76" s="5">
        <f t="shared" si="7"/>
        <v>0</v>
      </c>
      <c r="H76" s="5">
        <f t="shared" si="1"/>
        <v>0</v>
      </c>
      <c r="J76" s="6"/>
      <c r="K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>
        <f t="shared" si="5"/>
        <v>0</v>
      </c>
      <c r="AE76" s="5"/>
      <c r="AF76" s="5">
        <f t="shared" si="6"/>
        <v>0</v>
      </c>
    </row>
    <row r="77" spans="2:32">
      <c r="C77" s="6"/>
      <c r="F77" s="5"/>
      <c r="G77" s="5">
        <f t="shared" si="7"/>
        <v>0</v>
      </c>
      <c r="H77" s="5">
        <f t="shared" si="1"/>
        <v>0</v>
      </c>
      <c r="J77" s="6"/>
      <c r="K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>
        <f t="shared" si="5"/>
        <v>0</v>
      </c>
      <c r="AE77" s="5"/>
      <c r="AF77" s="5">
        <f t="shared" si="6"/>
        <v>0</v>
      </c>
    </row>
    <row r="78" spans="2:32">
      <c r="C78" s="6"/>
      <c r="F78" s="5"/>
      <c r="G78" s="5">
        <f t="shared" si="7"/>
        <v>0</v>
      </c>
      <c r="H78" s="5">
        <f t="shared" si="1"/>
        <v>0</v>
      </c>
      <c r="J78" s="6"/>
      <c r="K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>
        <f t="shared" si="5"/>
        <v>0</v>
      </c>
      <c r="AE78" s="5"/>
      <c r="AF78" s="5">
        <f t="shared" si="6"/>
        <v>0</v>
      </c>
    </row>
    <row r="79" spans="2:32">
      <c r="C79" s="6"/>
      <c r="F79" s="5"/>
      <c r="G79" s="5">
        <f t="shared" si="7"/>
        <v>0</v>
      </c>
      <c r="H79" s="5">
        <f t="shared" si="1"/>
        <v>0</v>
      </c>
      <c r="J79" s="6"/>
      <c r="K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>
        <f t="shared" si="5"/>
        <v>0</v>
      </c>
      <c r="AE79" s="5"/>
      <c r="AF79" s="5">
        <f t="shared" si="6"/>
        <v>0</v>
      </c>
    </row>
    <row r="80" spans="2:32">
      <c r="C80" s="6"/>
      <c r="F80" s="5"/>
      <c r="G80" s="5">
        <f t="shared" si="7"/>
        <v>0</v>
      </c>
      <c r="H80" s="5">
        <f t="shared" si="1"/>
        <v>0</v>
      </c>
      <c r="J80" s="6"/>
      <c r="K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>
        <f t="shared" si="5"/>
        <v>0</v>
      </c>
      <c r="AE80" s="5"/>
      <c r="AF80" s="5">
        <f t="shared" si="6"/>
        <v>0</v>
      </c>
    </row>
    <row r="81" spans="3:32">
      <c r="C81" s="6"/>
      <c r="F81" s="5"/>
      <c r="G81" s="5">
        <f t="shared" si="7"/>
        <v>0</v>
      </c>
      <c r="H81" s="5">
        <f t="shared" si="1"/>
        <v>0</v>
      </c>
      <c r="J81" s="6"/>
      <c r="K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>
        <f t="shared" si="5"/>
        <v>0</v>
      </c>
      <c r="AE81" s="5"/>
      <c r="AF81" s="5">
        <f t="shared" si="6"/>
        <v>0</v>
      </c>
    </row>
    <row r="82" spans="3:32">
      <c r="C82" s="6"/>
      <c r="F82" s="5"/>
      <c r="G82" s="5">
        <f t="shared" si="7"/>
        <v>0</v>
      </c>
      <c r="H82" s="5">
        <f t="shared" si="1"/>
        <v>0</v>
      </c>
      <c r="J82" s="6"/>
      <c r="K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>
        <f t="shared" si="5"/>
        <v>0</v>
      </c>
      <c r="AE82" s="5"/>
      <c r="AF82" s="5">
        <f t="shared" si="6"/>
        <v>0</v>
      </c>
    </row>
    <row r="83" spans="3:32">
      <c r="C83" s="6"/>
      <c r="F83" s="5"/>
      <c r="G83" s="5">
        <v>0</v>
      </c>
      <c r="H83" s="5">
        <f t="shared" si="1"/>
        <v>0</v>
      </c>
      <c r="J83" s="6"/>
      <c r="K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>
        <f t="shared" si="5"/>
        <v>0</v>
      </c>
      <c r="AE83" s="5"/>
      <c r="AF83" s="5">
        <f t="shared" si="6"/>
        <v>0</v>
      </c>
    </row>
    <row r="84" spans="3:32">
      <c r="C84" s="6"/>
      <c r="F84" s="5"/>
      <c r="G84" s="5">
        <v>0</v>
      </c>
      <c r="H84" s="5">
        <f t="shared" si="1"/>
        <v>0</v>
      </c>
      <c r="J84" s="6"/>
      <c r="K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f t="shared" si="5"/>
        <v>0</v>
      </c>
      <c r="AE84" s="5"/>
      <c r="AF84" s="5">
        <f t="shared" si="6"/>
        <v>0</v>
      </c>
    </row>
    <row r="85" spans="3:32">
      <c r="C85" s="6"/>
      <c r="F85" s="5"/>
      <c r="G85" s="5">
        <f t="shared" si="7"/>
        <v>0</v>
      </c>
      <c r="H85" s="5">
        <f t="shared" si="1"/>
        <v>0</v>
      </c>
      <c r="J85" s="6"/>
      <c r="K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>
        <f t="shared" si="5"/>
        <v>0</v>
      </c>
      <c r="AE85" s="5"/>
      <c r="AF85" s="5">
        <f t="shared" si="6"/>
        <v>0</v>
      </c>
    </row>
    <row r="86" spans="3:32">
      <c r="C86" s="6"/>
      <c r="F86" s="5"/>
      <c r="G86" s="5">
        <f t="shared" si="7"/>
        <v>0</v>
      </c>
      <c r="H86" s="5">
        <f t="shared" si="1"/>
        <v>0</v>
      </c>
      <c r="J86" s="6"/>
      <c r="K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>
        <f t="shared" ref="AD86:AD104" si="8">SUM(N86:AC86)</f>
        <v>0</v>
      </c>
      <c r="AE86" s="5"/>
      <c r="AF86" s="5">
        <f t="shared" ref="AF86:AF104" si="9">H86-AD86</f>
        <v>0</v>
      </c>
    </row>
    <row r="87" spans="3:32">
      <c r="C87" s="6"/>
      <c r="F87" s="5"/>
      <c r="G87" s="5">
        <f t="shared" si="7"/>
        <v>0</v>
      </c>
      <c r="H87" s="5">
        <f t="shared" ref="H87:H92" si="10">F87-G87</f>
        <v>0</v>
      </c>
      <c r="J87" s="6"/>
      <c r="K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>
        <f t="shared" si="8"/>
        <v>0</v>
      </c>
      <c r="AE87" s="5"/>
      <c r="AF87" s="5">
        <f t="shared" si="9"/>
        <v>0</v>
      </c>
    </row>
    <row r="88" spans="3:32">
      <c r="C88" s="6"/>
      <c r="F88" s="5"/>
      <c r="G88" s="5">
        <f t="shared" si="7"/>
        <v>0</v>
      </c>
      <c r="H88" s="5">
        <f t="shared" si="10"/>
        <v>0</v>
      </c>
      <c r="J88" s="6"/>
      <c r="K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>
        <f t="shared" si="8"/>
        <v>0</v>
      </c>
      <c r="AE88" s="5"/>
      <c r="AF88" s="5">
        <f t="shared" si="9"/>
        <v>0</v>
      </c>
    </row>
    <row r="89" spans="3:32">
      <c r="C89" s="6"/>
      <c r="F89" s="5"/>
      <c r="G89" s="5">
        <f t="shared" si="7"/>
        <v>0</v>
      </c>
      <c r="H89" s="5">
        <f t="shared" si="10"/>
        <v>0</v>
      </c>
      <c r="J89" s="6"/>
      <c r="K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>
        <f t="shared" si="8"/>
        <v>0</v>
      </c>
      <c r="AE89" s="5"/>
      <c r="AF89" s="5">
        <f t="shared" si="9"/>
        <v>0</v>
      </c>
    </row>
    <row r="90" spans="3:32">
      <c r="C90" s="6"/>
      <c r="F90" s="5"/>
      <c r="G90" s="5">
        <f t="shared" si="7"/>
        <v>0</v>
      </c>
      <c r="H90" s="5">
        <f t="shared" si="10"/>
        <v>0</v>
      </c>
      <c r="J90" s="6"/>
      <c r="K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>
        <f t="shared" si="8"/>
        <v>0</v>
      </c>
      <c r="AE90" s="5"/>
      <c r="AF90" s="5">
        <f t="shared" si="9"/>
        <v>0</v>
      </c>
    </row>
    <row r="91" spans="3:32">
      <c r="C91" s="6"/>
      <c r="F91" s="5"/>
      <c r="G91" s="5">
        <f t="shared" si="7"/>
        <v>0</v>
      </c>
      <c r="H91" s="5">
        <f t="shared" si="10"/>
        <v>0</v>
      </c>
      <c r="J91" s="6"/>
      <c r="K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>
        <f t="shared" si="8"/>
        <v>0</v>
      </c>
      <c r="AE91" s="5"/>
      <c r="AF91" s="5">
        <f t="shared" si="9"/>
        <v>0</v>
      </c>
    </row>
    <row r="92" spans="3:32">
      <c r="C92" s="6"/>
      <c r="F92" s="5"/>
      <c r="G92" s="5">
        <f t="shared" si="7"/>
        <v>0</v>
      </c>
      <c r="H92" s="5">
        <f t="shared" si="10"/>
        <v>0</v>
      </c>
      <c r="J92" s="6"/>
      <c r="K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>
        <f t="shared" si="8"/>
        <v>0</v>
      </c>
      <c r="AE92" s="5"/>
      <c r="AF92" s="5">
        <f t="shared" si="9"/>
        <v>0</v>
      </c>
    </row>
    <row r="93" spans="3:32">
      <c r="C93" s="6"/>
      <c r="F93" s="5"/>
      <c r="G93" s="5">
        <f t="shared" ref="G93:G102" si="11">F93*15/115</f>
        <v>0</v>
      </c>
      <c r="H93" s="5">
        <f t="shared" ref="H93:H102" si="12">F93-G93</f>
        <v>0</v>
      </c>
      <c r="J93" s="6"/>
      <c r="K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>
        <f t="shared" si="8"/>
        <v>0</v>
      </c>
      <c r="AE93" s="5"/>
      <c r="AF93" s="5">
        <f t="shared" si="9"/>
        <v>0</v>
      </c>
    </row>
    <row r="94" spans="3:32">
      <c r="C94" s="6"/>
      <c r="F94" s="5"/>
      <c r="G94" s="5">
        <f t="shared" si="11"/>
        <v>0</v>
      </c>
      <c r="H94" s="5">
        <f t="shared" si="12"/>
        <v>0</v>
      </c>
      <c r="J94" s="6"/>
      <c r="K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>
        <f t="shared" si="8"/>
        <v>0</v>
      </c>
      <c r="AE94" s="5"/>
      <c r="AF94" s="5">
        <f t="shared" si="9"/>
        <v>0</v>
      </c>
    </row>
    <row r="95" spans="3:32">
      <c r="C95" s="6"/>
      <c r="F95" s="5"/>
      <c r="G95" s="5">
        <f t="shared" si="11"/>
        <v>0</v>
      </c>
      <c r="H95" s="5">
        <f t="shared" si="12"/>
        <v>0</v>
      </c>
      <c r="J95" s="6"/>
      <c r="K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>
        <f t="shared" si="8"/>
        <v>0</v>
      </c>
      <c r="AE95" s="5"/>
      <c r="AF95" s="5">
        <f t="shared" si="9"/>
        <v>0</v>
      </c>
    </row>
    <row r="96" spans="3:32">
      <c r="C96" s="6"/>
      <c r="F96" s="5"/>
      <c r="G96" s="5">
        <f t="shared" si="11"/>
        <v>0</v>
      </c>
      <c r="H96" s="5">
        <f t="shared" si="12"/>
        <v>0</v>
      </c>
      <c r="J96" s="6"/>
      <c r="K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>
        <f t="shared" si="8"/>
        <v>0</v>
      </c>
      <c r="AE96" s="5"/>
      <c r="AF96" s="5">
        <f t="shared" si="9"/>
        <v>0</v>
      </c>
    </row>
    <row r="97" spans="3:32">
      <c r="C97" s="6"/>
      <c r="F97" s="5"/>
      <c r="G97" s="5">
        <f t="shared" si="11"/>
        <v>0</v>
      </c>
      <c r="H97" s="5">
        <f t="shared" si="12"/>
        <v>0</v>
      </c>
      <c r="J97" s="6"/>
      <c r="K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>
        <f t="shared" si="8"/>
        <v>0</v>
      </c>
      <c r="AE97" s="5"/>
      <c r="AF97" s="5">
        <f t="shared" si="9"/>
        <v>0</v>
      </c>
    </row>
    <row r="98" spans="3:32">
      <c r="C98" s="6"/>
      <c r="F98" s="5"/>
      <c r="G98" s="5">
        <f t="shared" si="11"/>
        <v>0</v>
      </c>
      <c r="H98" s="5">
        <f t="shared" si="12"/>
        <v>0</v>
      </c>
      <c r="J98" s="6"/>
      <c r="K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>
        <f t="shared" si="8"/>
        <v>0</v>
      </c>
      <c r="AE98" s="5"/>
      <c r="AF98" s="5">
        <f t="shared" si="9"/>
        <v>0</v>
      </c>
    </row>
    <row r="99" spans="3:32">
      <c r="C99" s="6"/>
      <c r="F99" s="5"/>
      <c r="G99" s="5">
        <f t="shared" si="11"/>
        <v>0</v>
      </c>
      <c r="H99" s="5">
        <f t="shared" si="12"/>
        <v>0</v>
      </c>
      <c r="J99" s="6"/>
      <c r="K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>
        <f t="shared" si="8"/>
        <v>0</v>
      </c>
      <c r="AE99" s="5"/>
      <c r="AF99" s="5">
        <f t="shared" si="9"/>
        <v>0</v>
      </c>
    </row>
    <row r="100" spans="3:32">
      <c r="C100" s="6"/>
      <c r="F100" s="5"/>
      <c r="G100" s="5">
        <f t="shared" si="11"/>
        <v>0</v>
      </c>
      <c r="H100" s="5">
        <f t="shared" si="12"/>
        <v>0</v>
      </c>
      <c r="J100" s="6"/>
      <c r="K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f t="shared" si="8"/>
        <v>0</v>
      </c>
      <c r="AE100" s="5"/>
      <c r="AF100" s="5">
        <f t="shared" si="9"/>
        <v>0</v>
      </c>
    </row>
    <row r="101" spans="3:32">
      <c r="C101" s="6"/>
      <c r="F101" s="5"/>
      <c r="G101" s="5">
        <f t="shared" si="11"/>
        <v>0</v>
      </c>
      <c r="H101" s="5">
        <f t="shared" si="12"/>
        <v>0</v>
      </c>
      <c r="J101" s="6"/>
      <c r="K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>
        <f t="shared" si="8"/>
        <v>0</v>
      </c>
      <c r="AE101" s="5"/>
      <c r="AF101" s="5">
        <f t="shared" si="9"/>
        <v>0</v>
      </c>
    </row>
    <row r="102" spans="3:32">
      <c r="C102" s="6"/>
      <c r="F102" s="5"/>
      <c r="G102" s="5">
        <f t="shared" si="11"/>
        <v>0</v>
      </c>
      <c r="H102" s="5">
        <f t="shared" si="12"/>
        <v>0</v>
      </c>
      <c r="J102" s="6"/>
      <c r="K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>
        <f t="shared" si="8"/>
        <v>0</v>
      </c>
      <c r="AE102" s="5"/>
      <c r="AF102" s="5">
        <f t="shared" si="9"/>
        <v>0</v>
      </c>
    </row>
    <row r="103" spans="3:32">
      <c r="C103" s="6"/>
      <c r="F103" s="5"/>
      <c r="G103" s="5">
        <f t="shared" si="7"/>
        <v>0</v>
      </c>
      <c r="H103" s="5">
        <f>F103-G103</f>
        <v>0</v>
      </c>
      <c r="J103" s="6"/>
      <c r="K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>
        <f t="shared" si="8"/>
        <v>0</v>
      </c>
      <c r="AE103" s="5"/>
      <c r="AF103" s="5">
        <f t="shared" si="9"/>
        <v>0</v>
      </c>
    </row>
    <row r="104" spans="3:32">
      <c r="C104" s="6"/>
      <c r="F104" s="5"/>
      <c r="G104" s="5">
        <f t="shared" si="7"/>
        <v>0</v>
      </c>
      <c r="H104" s="5">
        <f>F104-G104</f>
        <v>0</v>
      </c>
      <c r="J104" s="6"/>
      <c r="K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>
        <f t="shared" si="8"/>
        <v>0</v>
      </c>
      <c r="AE104" s="5"/>
      <c r="AF104" s="5">
        <f t="shared" si="9"/>
        <v>0</v>
      </c>
    </row>
    <row r="105" spans="3:32"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3:32" ht="12" thickBot="1">
      <c r="F106" s="8">
        <f>SUM(F5:F105)</f>
        <v>5260455.5999999996</v>
      </c>
      <c r="G106" s="8">
        <f t="shared" ref="G106:AF106" si="13">SUM(G5:G105)</f>
        <v>623045.29565217393</v>
      </c>
      <c r="H106" s="8">
        <f t="shared" si="13"/>
        <v>4507260.3043478262</v>
      </c>
      <c r="I106" s="8">
        <f t="shared" si="13"/>
        <v>0</v>
      </c>
      <c r="J106" s="8">
        <f t="shared" si="13"/>
        <v>0</v>
      </c>
      <c r="K106" s="8">
        <f t="shared" si="13"/>
        <v>5105555.38</v>
      </c>
      <c r="L106" s="8">
        <f t="shared" si="13"/>
        <v>0</v>
      </c>
      <c r="M106" s="8">
        <f t="shared" si="13"/>
        <v>0</v>
      </c>
      <c r="N106" s="8">
        <f t="shared" si="13"/>
        <v>1128100.9600000002</v>
      </c>
      <c r="O106" s="8">
        <f t="shared" si="13"/>
        <v>575490.05000000005</v>
      </c>
      <c r="P106" s="8">
        <f t="shared" si="13"/>
        <v>259796.91</v>
      </c>
      <c r="Q106" s="8">
        <f t="shared" si="13"/>
        <v>394174.76</v>
      </c>
      <c r="R106" s="8">
        <f t="shared" si="13"/>
        <v>372435</v>
      </c>
      <c r="S106" s="8">
        <f t="shared" si="13"/>
        <v>187845.44000000003</v>
      </c>
      <c r="T106" s="8">
        <f t="shared" si="13"/>
        <v>0</v>
      </c>
      <c r="U106" s="8">
        <f t="shared" si="13"/>
        <v>0</v>
      </c>
      <c r="V106" s="8">
        <f t="shared" si="13"/>
        <v>529003.26</v>
      </c>
      <c r="W106" s="8">
        <f t="shared" si="13"/>
        <v>0</v>
      </c>
      <c r="X106" s="8">
        <f t="shared" si="13"/>
        <v>11720.5</v>
      </c>
      <c r="Y106" s="8">
        <f t="shared" si="13"/>
        <v>0</v>
      </c>
      <c r="Z106" s="8">
        <f t="shared" si="13"/>
        <v>167050.68</v>
      </c>
      <c r="AA106" s="8">
        <f t="shared" si="13"/>
        <v>50306.84</v>
      </c>
      <c r="AB106" s="8">
        <f t="shared" si="13"/>
        <v>528905.86</v>
      </c>
      <c r="AC106" s="8">
        <f t="shared" si="13"/>
        <v>7949.8499999999995</v>
      </c>
      <c r="AD106" s="8">
        <f t="shared" si="13"/>
        <v>4212780.1099999994</v>
      </c>
      <c r="AE106" s="8">
        <f t="shared" si="13"/>
        <v>0</v>
      </c>
      <c r="AF106" s="8">
        <f t="shared" si="13"/>
        <v>294480.19434782607</v>
      </c>
    </row>
    <row r="107" spans="3:32" ht="12" thickTop="1"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3:32">
      <c r="Z108" s="1" t="s">
        <v>366</v>
      </c>
    </row>
    <row r="109" spans="3:32">
      <c r="Z109" s="1" t="s">
        <v>367</v>
      </c>
    </row>
    <row r="110" spans="3:32">
      <c r="Z110" s="1" t="s">
        <v>368</v>
      </c>
    </row>
  </sheetData>
  <mergeCells count="1">
    <mergeCell ref="N3:AD3"/>
  </mergeCells>
  <pageMargins left="0.7" right="0.7" top="0.75" bottom="0.75" header="0.3" footer="0.3"/>
  <pageSetup paperSize="9" scale="2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B35E-D156-4A84-A090-4F1E9339481A}">
  <sheetPr>
    <pageSetUpPr fitToPage="1"/>
  </sheetPr>
  <dimension ref="B2:AB93"/>
  <sheetViews>
    <sheetView topLeftCell="A7" zoomScale="80" zoomScaleNormal="80" workbookViewId="0">
      <selection activeCell="L41" sqref="L41"/>
    </sheetView>
  </sheetViews>
  <sheetFormatPr defaultColWidth="8.85546875" defaultRowHeight="11.25"/>
  <cols>
    <col min="1" max="1" width="8.85546875" style="1"/>
    <col min="2" max="2" width="41.5703125" style="16" bestFit="1" customWidth="1"/>
    <col min="3" max="3" width="50" style="1" bestFit="1" customWidth="1"/>
    <col min="4" max="4" width="17" style="1" bestFit="1" customWidth="1"/>
    <col min="5" max="5" width="11.28515625" style="1" bestFit="1" customWidth="1"/>
    <col min="6" max="6" width="11.140625" style="1" bestFit="1" customWidth="1"/>
    <col min="7" max="7" width="18" style="1" bestFit="1" customWidth="1"/>
    <col min="8" max="8" width="50.140625" style="1" bestFit="1" customWidth="1"/>
    <col min="9" max="9" width="15.28515625" style="1" bestFit="1" customWidth="1"/>
    <col min="10" max="10" width="23.42578125" style="1" bestFit="1" customWidth="1"/>
    <col min="11" max="11" width="19.28515625" style="1" bestFit="1" customWidth="1"/>
    <col min="12" max="12" width="21.7109375" style="1" bestFit="1" customWidth="1"/>
    <col min="13" max="13" width="18" style="1" customWidth="1"/>
    <col min="14" max="14" width="22.7109375" style="1" bestFit="1" customWidth="1"/>
    <col min="15" max="15" width="12.140625" style="1" bestFit="1" customWidth="1"/>
    <col min="16" max="16" width="23.7109375" style="1" bestFit="1" customWidth="1"/>
    <col min="17" max="18" width="18" style="1" customWidth="1"/>
    <col min="19" max="19" width="19.85546875" style="1" bestFit="1" customWidth="1"/>
    <col min="20" max="21" width="18" style="1" customWidth="1"/>
    <col min="22" max="22" width="10.7109375" style="1" bestFit="1" customWidth="1"/>
    <col min="23" max="23" width="16" style="1" bestFit="1" customWidth="1"/>
    <col min="24" max="24" width="15.5703125" style="1" bestFit="1" customWidth="1"/>
    <col min="25" max="25" width="37.140625" style="1" customWidth="1"/>
    <col min="26" max="26" width="17.28515625" style="1" bestFit="1" customWidth="1"/>
    <col min="27" max="27" width="8.85546875" style="1"/>
    <col min="28" max="28" width="10.5703125" style="1" bestFit="1" customWidth="1"/>
    <col min="29" max="16384" width="8.85546875" style="1"/>
  </cols>
  <sheetData>
    <row r="2" spans="2:28" ht="15.75">
      <c r="B2" s="15" t="s">
        <v>369</v>
      </c>
    </row>
    <row r="3" spans="2:28" ht="15.75">
      <c r="B3" s="15"/>
    </row>
    <row r="4" spans="2:28" ht="15.75">
      <c r="B4" s="15" t="s">
        <v>370</v>
      </c>
      <c r="Y4" s="7"/>
      <c r="Z4" s="27"/>
    </row>
    <row r="5" spans="2:28" ht="12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2:28" ht="12">
      <c r="B6" s="25" t="s">
        <v>181</v>
      </c>
      <c r="C6" s="25" t="s">
        <v>371</v>
      </c>
      <c r="D6" s="25" t="s">
        <v>372</v>
      </c>
      <c r="E6" s="25" t="s">
        <v>184</v>
      </c>
      <c r="F6" s="25" t="s">
        <v>194</v>
      </c>
      <c r="G6" s="25" t="s">
        <v>195</v>
      </c>
      <c r="H6" s="25" t="s">
        <v>373</v>
      </c>
      <c r="I6" s="4" t="s">
        <v>114</v>
      </c>
      <c r="J6" s="4" t="s">
        <v>374</v>
      </c>
      <c r="K6" s="4" t="s">
        <v>198</v>
      </c>
      <c r="L6" s="4" t="s">
        <v>35</v>
      </c>
      <c r="M6" s="4" t="s">
        <v>37</v>
      </c>
      <c r="N6" s="4" t="s">
        <v>39</v>
      </c>
      <c r="O6" s="4" t="s">
        <v>40</v>
      </c>
      <c r="P6" s="4" t="s">
        <v>41</v>
      </c>
      <c r="Q6" s="4" t="s">
        <v>42</v>
      </c>
      <c r="R6" s="4" t="s">
        <v>43</v>
      </c>
      <c r="S6" s="4" t="s">
        <v>44</v>
      </c>
      <c r="T6" s="4" t="s">
        <v>180</v>
      </c>
      <c r="U6" s="4" t="s">
        <v>375</v>
      </c>
      <c r="V6" s="4" t="s">
        <v>201</v>
      </c>
      <c r="W6" s="4" t="s">
        <v>376</v>
      </c>
      <c r="X6" s="4" t="s">
        <v>377</v>
      </c>
      <c r="Y6" s="4" t="s">
        <v>203</v>
      </c>
      <c r="Z6" s="4" t="s">
        <v>204</v>
      </c>
      <c r="AB6" s="25" t="s">
        <v>63</v>
      </c>
    </row>
    <row r="7" spans="2:28">
      <c r="B7" s="6">
        <v>45719</v>
      </c>
      <c r="C7" s="1" t="s">
        <v>378</v>
      </c>
      <c r="D7" s="16" t="s">
        <v>379</v>
      </c>
      <c r="E7" s="1">
        <v>13101.18</v>
      </c>
      <c r="F7" s="18">
        <f>E7*15/115</f>
        <v>1708.8495652173915</v>
      </c>
      <c r="G7" s="29">
        <f>E7-F7</f>
        <v>11392.330434782609</v>
      </c>
      <c r="H7" s="7">
        <f>+I7*50%</f>
        <v>2250</v>
      </c>
      <c r="I7" s="1">
        <v>4500</v>
      </c>
      <c r="J7" s="1">
        <v>6892.33</v>
      </c>
      <c r="Z7" s="5">
        <f t="shared" ref="Z7:Z51" si="0">SUM(I7:Y7)</f>
        <v>11392.33</v>
      </c>
      <c r="AB7" s="7">
        <f t="shared" ref="AB7:AB71" si="1">G7-Z7</f>
        <v>4.3478260886331555E-4</v>
      </c>
    </row>
    <row r="8" spans="2:28">
      <c r="B8" s="17">
        <v>45719</v>
      </c>
      <c r="C8" s="14" t="s">
        <v>380</v>
      </c>
      <c r="D8" s="23" t="s">
        <v>381</v>
      </c>
      <c r="E8" s="18">
        <v>5402.93</v>
      </c>
      <c r="F8" s="18">
        <f>E8*15/115</f>
        <v>704.73000000000013</v>
      </c>
      <c r="G8" s="29">
        <f>E8-F8</f>
        <v>4698.2</v>
      </c>
      <c r="H8" s="7">
        <f t="shared" ref="H8:H35" si="2">+I8*50%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>
        <v>3400</v>
      </c>
      <c r="T8" s="5"/>
      <c r="U8" s="5"/>
      <c r="V8" s="5"/>
      <c r="W8" s="5"/>
      <c r="X8" s="5"/>
      <c r="Y8" s="7">
        <v>1298.2</v>
      </c>
      <c r="Z8" s="5">
        <f t="shared" si="0"/>
        <v>4698.2</v>
      </c>
      <c r="AB8" s="7">
        <f t="shared" si="1"/>
        <v>0</v>
      </c>
    </row>
    <row r="9" spans="2:28">
      <c r="B9" s="17">
        <v>45719</v>
      </c>
      <c r="C9" s="14" t="s">
        <v>228</v>
      </c>
      <c r="D9" s="23" t="s">
        <v>361</v>
      </c>
      <c r="E9" s="18">
        <v>11068.75</v>
      </c>
      <c r="F9" s="18">
        <f>E9*15/115</f>
        <v>1443.75</v>
      </c>
      <c r="G9" s="29">
        <f t="shared" ref="G9:G51" si="3">E9-F9</f>
        <v>9625</v>
      </c>
      <c r="H9" s="7">
        <f t="shared" si="2"/>
        <v>0</v>
      </c>
      <c r="I9" s="5"/>
      <c r="J9" s="5"/>
      <c r="K9" s="5"/>
      <c r="L9" s="5"/>
      <c r="M9" s="5"/>
      <c r="N9" s="5"/>
      <c r="O9" s="5"/>
      <c r="P9" s="5"/>
      <c r="Q9" s="5">
        <v>9625</v>
      </c>
      <c r="R9" s="5"/>
      <c r="S9" s="5"/>
      <c r="T9" s="5"/>
      <c r="U9" s="5"/>
      <c r="V9" s="5"/>
      <c r="W9" s="5"/>
      <c r="X9" s="5"/>
      <c r="Y9" s="5"/>
      <c r="Z9" s="5">
        <f t="shared" si="0"/>
        <v>9625</v>
      </c>
      <c r="AB9" s="7">
        <f t="shared" si="1"/>
        <v>0</v>
      </c>
    </row>
    <row r="10" spans="2:28">
      <c r="B10" s="17">
        <v>45719</v>
      </c>
      <c r="C10" s="14" t="s">
        <v>382</v>
      </c>
      <c r="D10" s="23" t="s">
        <v>328</v>
      </c>
      <c r="E10" s="26">
        <v>34500</v>
      </c>
      <c r="F10" s="18">
        <f t="shared" ref="F10:F75" si="4">E10*15/115</f>
        <v>4500</v>
      </c>
      <c r="G10" s="29">
        <f t="shared" si="3"/>
        <v>30000</v>
      </c>
      <c r="H10" s="7">
        <f t="shared" si="2"/>
        <v>1500</v>
      </c>
      <c r="I10" s="5">
        <v>3000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f t="shared" si="0"/>
        <v>3000</v>
      </c>
      <c r="AB10" s="7">
        <f t="shared" si="1"/>
        <v>27000</v>
      </c>
    </row>
    <row r="11" spans="2:28">
      <c r="B11" s="17">
        <v>45719</v>
      </c>
      <c r="C11" s="14" t="s">
        <v>341</v>
      </c>
      <c r="D11" s="23" t="s">
        <v>343</v>
      </c>
      <c r="E11" s="26">
        <v>62100</v>
      </c>
      <c r="F11" s="18">
        <f t="shared" si="4"/>
        <v>8100</v>
      </c>
      <c r="G11" s="18">
        <f t="shared" si="3"/>
        <v>54000</v>
      </c>
      <c r="H11" s="7">
        <f t="shared" si="2"/>
        <v>0</v>
      </c>
      <c r="I11" s="5"/>
      <c r="J11" s="5"/>
      <c r="K11" s="5"/>
      <c r="L11" s="5"/>
      <c r="M11" s="5"/>
      <c r="N11" s="5"/>
      <c r="O11" s="5"/>
      <c r="P11" s="5"/>
      <c r="Q11" s="5">
        <v>54000</v>
      </c>
      <c r="R11" s="5"/>
      <c r="S11" s="5"/>
      <c r="T11" s="5"/>
      <c r="U11" s="5"/>
      <c r="V11" s="5"/>
      <c r="W11" s="5"/>
      <c r="X11" s="5"/>
      <c r="Y11" s="5"/>
      <c r="Z11" s="5">
        <f t="shared" si="0"/>
        <v>54000</v>
      </c>
      <c r="AB11" s="7">
        <f t="shared" si="1"/>
        <v>0</v>
      </c>
    </row>
    <row r="12" spans="2:28">
      <c r="B12" s="17">
        <v>45719</v>
      </c>
      <c r="C12" s="14" t="s">
        <v>220</v>
      </c>
      <c r="D12" s="23" t="s">
        <v>241</v>
      </c>
      <c r="E12" s="26">
        <v>12999.6</v>
      </c>
      <c r="F12" s="18">
        <f t="shared" si="4"/>
        <v>1695.6</v>
      </c>
      <c r="G12" s="18">
        <f t="shared" si="3"/>
        <v>11304</v>
      </c>
      <c r="H12" s="7">
        <f t="shared" si="2"/>
        <v>0</v>
      </c>
      <c r="I12" s="5"/>
      <c r="J12" s="5"/>
      <c r="K12" s="5"/>
      <c r="L12" s="5"/>
      <c r="M12" s="5"/>
      <c r="N12" s="5"/>
      <c r="O12" s="5"/>
      <c r="P12" s="5"/>
      <c r="Q12" s="5">
        <v>11000</v>
      </c>
      <c r="R12" s="5"/>
      <c r="S12" s="5"/>
      <c r="T12" s="5"/>
      <c r="U12" s="5"/>
      <c r="V12" s="5"/>
      <c r="W12" s="5"/>
      <c r="X12" s="5"/>
      <c r="Y12" s="5">
        <v>304</v>
      </c>
      <c r="Z12" s="5">
        <f t="shared" si="0"/>
        <v>11304</v>
      </c>
      <c r="AB12" s="7">
        <f t="shared" si="1"/>
        <v>0</v>
      </c>
    </row>
    <row r="13" spans="2:28">
      <c r="B13" s="17">
        <v>45719</v>
      </c>
      <c r="C13" s="14" t="s">
        <v>295</v>
      </c>
      <c r="D13" s="23" t="s">
        <v>383</v>
      </c>
      <c r="E13" s="26">
        <v>11955.29</v>
      </c>
      <c r="F13" s="18">
        <f t="shared" si="4"/>
        <v>1559.3856521739131</v>
      </c>
      <c r="G13" s="18">
        <f t="shared" si="3"/>
        <v>10395.904347826088</v>
      </c>
      <c r="H13" s="7">
        <f t="shared" si="2"/>
        <v>3977.6350000000002</v>
      </c>
      <c r="I13" s="5">
        <v>7955.27</v>
      </c>
      <c r="J13" s="5"/>
      <c r="K13" s="5">
        <v>1627.08</v>
      </c>
      <c r="L13" s="5">
        <v>813.54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f t="shared" si="0"/>
        <v>10395.89</v>
      </c>
      <c r="AB13" s="7">
        <f t="shared" si="1"/>
        <v>1.4347826088851434E-2</v>
      </c>
    </row>
    <row r="14" spans="2:28">
      <c r="B14" s="17">
        <v>45719</v>
      </c>
      <c r="C14" s="14" t="s">
        <v>210</v>
      </c>
      <c r="D14" s="23" t="s">
        <v>384</v>
      </c>
      <c r="E14" s="26">
        <v>8445.09</v>
      </c>
      <c r="F14" s="18">
        <f t="shared" si="4"/>
        <v>1101.5334782608695</v>
      </c>
      <c r="G14" s="18">
        <f t="shared" si="3"/>
        <v>7343.5565217391304</v>
      </c>
      <c r="H14" s="7">
        <f t="shared" si="2"/>
        <v>0</v>
      </c>
      <c r="I14" s="5"/>
      <c r="J14" s="5">
        <v>4471.29</v>
      </c>
      <c r="K14" s="5"/>
      <c r="L14" s="5"/>
      <c r="M14" s="5"/>
      <c r="N14" s="5">
        <v>2872.27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f t="shared" si="0"/>
        <v>7343.5599999999995</v>
      </c>
      <c r="AB14" s="7">
        <f t="shared" si="1"/>
        <v>-3.478260869087535E-3</v>
      </c>
    </row>
    <row r="15" spans="2:28">
      <c r="B15" s="17">
        <v>45719</v>
      </c>
      <c r="C15" s="14" t="s">
        <v>295</v>
      </c>
      <c r="D15" s="23" t="s">
        <v>385</v>
      </c>
      <c r="E15" s="26">
        <v>7810.36</v>
      </c>
      <c r="F15" s="18">
        <f t="shared" si="4"/>
        <v>1018.7426086956522</v>
      </c>
      <c r="G15" s="18">
        <f t="shared" si="3"/>
        <v>6791.6173913043476</v>
      </c>
      <c r="H15" s="7">
        <f t="shared" si="2"/>
        <v>0</v>
      </c>
      <c r="I15" s="5"/>
      <c r="J15" s="5"/>
      <c r="K15" s="5"/>
      <c r="L15" s="5">
        <v>813.55</v>
      </c>
      <c r="M15" s="5"/>
      <c r="N15" s="5">
        <v>5873.77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>
        <v>104.3</v>
      </c>
      <c r="Z15" s="5">
        <f t="shared" si="0"/>
        <v>6791.6200000000008</v>
      </c>
      <c r="AB15" s="7">
        <f t="shared" si="1"/>
        <v>-2.6086956531798933E-3</v>
      </c>
    </row>
    <row r="16" spans="2:28">
      <c r="B16" s="17">
        <v>45719</v>
      </c>
      <c r="C16" s="14" t="s">
        <v>378</v>
      </c>
      <c r="D16" s="23" t="s">
        <v>386</v>
      </c>
      <c r="E16" s="26">
        <v>6192.32</v>
      </c>
      <c r="F16" s="18">
        <f t="shared" si="4"/>
        <v>807.69391304347812</v>
      </c>
      <c r="G16" s="18">
        <f t="shared" si="3"/>
        <v>5384.6260869565212</v>
      </c>
      <c r="H16" s="7">
        <f t="shared" si="2"/>
        <v>0</v>
      </c>
      <c r="I16" s="5"/>
      <c r="J16" s="5">
        <v>5384.63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f t="shared" si="0"/>
        <v>5384.63</v>
      </c>
      <c r="AB16" s="7">
        <f t="shared" si="1"/>
        <v>-3.9130434788603452E-3</v>
      </c>
    </row>
    <row r="17" spans="2:28">
      <c r="B17" s="17">
        <v>45719</v>
      </c>
      <c r="C17" s="14" t="s">
        <v>295</v>
      </c>
      <c r="D17" s="23" t="s">
        <v>387</v>
      </c>
      <c r="E17" s="26">
        <v>25814.6</v>
      </c>
      <c r="F17" s="18">
        <f t="shared" si="4"/>
        <v>3367.1217391304349</v>
      </c>
      <c r="G17" s="18">
        <f t="shared" si="3"/>
        <v>22447.478260869564</v>
      </c>
      <c r="H17" s="7">
        <f t="shared" si="2"/>
        <v>7955.28</v>
      </c>
      <c r="I17" s="5">
        <v>15910.56</v>
      </c>
      <c r="J17" s="5"/>
      <c r="K17" s="5">
        <v>6508.32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28.6</v>
      </c>
      <c r="Z17" s="5">
        <f t="shared" si="0"/>
        <v>22447.479999999996</v>
      </c>
      <c r="AB17" s="7">
        <f t="shared" si="1"/>
        <v>-1.7391304318152834E-3</v>
      </c>
    </row>
    <row r="18" spans="2:28">
      <c r="B18" s="17">
        <v>45719</v>
      </c>
      <c r="C18" s="14" t="s">
        <v>295</v>
      </c>
      <c r="D18" s="23" t="s">
        <v>388</v>
      </c>
      <c r="E18" s="26">
        <v>9710.73</v>
      </c>
      <c r="F18" s="18">
        <f t="shared" si="4"/>
        <v>1266.616956521739</v>
      </c>
      <c r="G18" s="18">
        <f t="shared" si="3"/>
        <v>8444.1130434782608</v>
      </c>
      <c r="H18" s="7">
        <f t="shared" si="2"/>
        <v>0</v>
      </c>
      <c r="I18" s="5"/>
      <c r="J18" s="5"/>
      <c r="K18" s="5"/>
      <c r="L18" s="5">
        <v>813.55</v>
      </c>
      <c r="M18" s="5"/>
      <c r="N18" s="5">
        <v>6557.14</v>
      </c>
      <c r="O18" s="5"/>
      <c r="P18" s="5">
        <v>1073.42</v>
      </c>
      <c r="Q18" s="5"/>
      <c r="R18" s="5"/>
      <c r="S18" s="5"/>
      <c r="T18" s="5"/>
      <c r="U18" s="5"/>
      <c r="V18" s="5"/>
      <c r="W18" s="5"/>
      <c r="X18" s="5"/>
      <c r="Y18" s="5"/>
      <c r="Z18" s="5">
        <f t="shared" si="0"/>
        <v>8444.11</v>
      </c>
      <c r="AB18" s="7">
        <f t="shared" si="1"/>
        <v>3.0434782602242194E-3</v>
      </c>
    </row>
    <row r="19" spans="2:28">
      <c r="B19" s="17">
        <v>45719</v>
      </c>
      <c r="C19" s="14" t="s">
        <v>295</v>
      </c>
      <c r="D19" s="23" t="s">
        <v>389</v>
      </c>
      <c r="E19" s="26">
        <v>9710.73</v>
      </c>
      <c r="F19" s="18">
        <f t="shared" si="4"/>
        <v>1266.616956521739</v>
      </c>
      <c r="G19" s="18">
        <f t="shared" si="3"/>
        <v>8444.1130434782608</v>
      </c>
      <c r="H19" s="7">
        <f t="shared" si="2"/>
        <v>0</v>
      </c>
      <c r="I19" s="5"/>
      <c r="J19" s="5"/>
      <c r="K19" s="5"/>
      <c r="L19" s="5">
        <v>813.55</v>
      </c>
      <c r="M19" s="5"/>
      <c r="N19" s="5">
        <v>6557.14</v>
      </c>
      <c r="O19" s="5"/>
      <c r="P19" s="5">
        <v>1073.42</v>
      </c>
      <c r="Q19" s="5"/>
      <c r="R19" s="5"/>
      <c r="S19" s="5"/>
      <c r="T19" s="5"/>
      <c r="U19" s="5"/>
      <c r="V19" s="5"/>
      <c r="W19" s="5"/>
      <c r="X19" s="5"/>
      <c r="Y19" s="5"/>
      <c r="Z19" s="5">
        <f t="shared" si="0"/>
        <v>8444.11</v>
      </c>
      <c r="AB19" s="7">
        <f t="shared" si="1"/>
        <v>3.0434782602242194E-3</v>
      </c>
    </row>
    <row r="20" spans="2:28">
      <c r="B20" s="17">
        <v>45719</v>
      </c>
      <c r="C20" s="14" t="s">
        <v>295</v>
      </c>
      <c r="D20" s="23" t="s">
        <v>390</v>
      </c>
      <c r="E20" s="26">
        <v>9710.73</v>
      </c>
      <c r="F20" s="18">
        <f t="shared" si="4"/>
        <v>1266.616956521739</v>
      </c>
      <c r="G20" s="18">
        <f t="shared" si="3"/>
        <v>8444.1130434782608</v>
      </c>
      <c r="H20" s="7">
        <f t="shared" si="2"/>
        <v>0</v>
      </c>
      <c r="I20" s="5"/>
      <c r="J20" s="5"/>
      <c r="K20" s="5"/>
      <c r="L20" s="5">
        <v>813.55</v>
      </c>
      <c r="M20" s="5"/>
      <c r="N20" s="5">
        <v>6557.14</v>
      </c>
      <c r="O20" s="5"/>
      <c r="P20" s="5">
        <v>1073.42</v>
      </c>
      <c r="Q20" s="5"/>
      <c r="R20" s="5"/>
      <c r="S20" s="5"/>
      <c r="T20" s="5"/>
      <c r="U20" s="5"/>
      <c r="V20" s="5"/>
      <c r="W20" s="5"/>
      <c r="X20" s="5"/>
      <c r="Y20" s="5"/>
      <c r="Z20" s="5">
        <f t="shared" si="0"/>
        <v>8444.11</v>
      </c>
      <c r="AB20" s="7">
        <f t="shared" si="1"/>
        <v>3.0434782602242194E-3</v>
      </c>
    </row>
    <row r="21" spans="2:28">
      <c r="B21" s="17">
        <v>45719</v>
      </c>
      <c r="C21" s="14" t="s">
        <v>295</v>
      </c>
      <c r="D21" s="23" t="s">
        <v>391</v>
      </c>
      <c r="E21" s="26">
        <v>10496.6</v>
      </c>
      <c r="F21" s="18">
        <f t="shared" si="4"/>
        <v>1369.1217391304349</v>
      </c>
      <c r="G21" s="18">
        <f t="shared" si="3"/>
        <v>9127.4782608695659</v>
      </c>
      <c r="H21" s="7">
        <f t="shared" si="2"/>
        <v>0</v>
      </c>
      <c r="I21" s="5"/>
      <c r="J21" s="5"/>
      <c r="K21" s="5"/>
      <c r="L21" s="5">
        <v>813.55</v>
      </c>
      <c r="M21" s="5"/>
      <c r="N21" s="5">
        <v>7240.51</v>
      </c>
      <c r="O21" s="5"/>
      <c r="P21" s="5">
        <v>1073.42</v>
      </c>
      <c r="Q21" s="5"/>
      <c r="R21" s="5"/>
      <c r="S21" s="5"/>
      <c r="T21" s="5"/>
      <c r="U21" s="5"/>
      <c r="V21" s="5"/>
      <c r="W21" s="5"/>
      <c r="X21" s="5"/>
      <c r="Y21" s="5"/>
      <c r="Z21" s="5">
        <f t="shared" si="0"/>
        <v>9127.48</v>
      </c>
      <c r="AB21" s="7">
        <f t="shared" si="1"/>
        <v>-1.7391304336342728E-3</v>
      </c>
    </row>
    <row r="22" spans="2:28">
      <c r="B22" s="17">
        <v>45719</v>
      </c>
      <c r="C22" s="14" t="s">
        <v>392</v>
      </c>
      <c r="D22" s="23" t="s">
        <v>393</v>
      </c>
      <c r="E22" s="26">
        <v>1172705.05</v>
      </c>
      <c r="F22" s="18">
        <f t="shared" si="4"/>
        <v>152961.52826086956</v>
      </c>
      <c r="G22" s="18">
        <f t="shared" si="3"/>
        <v>1019743.5217391305</v>
      </c>
      <c r="H22" s="7">
        <f t="shared" si="2"/>
        <v>254801.3</v>
      </c>
      <c r="I22" s="5">
        <v>509602.6</v>
      </c>
      <c r="J22" s="5">
        <v>69569.36</v>
      </c>
      <c r="K22" s="5">
        <v>248124.99</v>
      </c>
      <c r="L22" s="5"/>
      <c r="M22" s="5"/>
      <c r="N22" s="5">
        <v>140793.71</v>
      </c>
      <c r="O22" s="5"/>
      <c r="P22" s="5">
        <v>36569.26</v>
      </c>
      <c r="Q22" s="5"/>
      <c r="R22" s="5"/>
      <c r="S22" s="5"/>
      <c r="T22" s="5"/>
      <c r="U22" s="5"/>
      <c r="V22" s="5"/>
      <c r="W22" s="5"/>
      <c r="X22" s="5"/>
      <c r="Y22" s="5">
        <v>15083.6</v>
      </c>
      <c r="Z22" s="5">
        <f t="shared" si="0"/>
        <v>1019743.5199999999</v>
      </c>
      <c r="AB22" s="7">
        <f t="shared" si="1"/>
        <v>1.7391305882483721E-3</v>
      </c>
    </row>
    <row r="23" spans="2:28">
      <c r="B23" s="17">
        <v>45719</v>
      </c>
      <c r="C23" s="14" t="s">
        <v>235</v>
      </c>
      <c r="D23" s="23" t="s">
        <v>358</v>
      </c>
      <c r="E23" s="26">
        <v>1910.15</v>
      </c>
      <c r="F23" s="18">
        <f t="shared" si="4"/>
        <v>249.15</v>
      </c>
      <c r="G23" s="18">
        <f t="shared" si="3"/>
        <v>1661</v>
      </c>
      <c r="H23" s="7">
        <f t="shared" si="2"/>
        <v>0</v>
      </c>
      <c r="I23" s="5"/>
      <c r="J23" s="5"/>
      <c r="K23" s="5"/>
      <c r="L23" s="5">
        <v>1650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11</v>
      </c>
      <c r="Z23" s="5">
        <f t="shared" si="0"/>
        <v>1661</v>
      </c>
      <c r="AB23" s="7">
        <f t="shared" si="1"/>
        <v>0</v>
      </c>
    </row>
    <row r="24" spans="2:28">
      <c r="B24" s="17">
        <v>45719</v>
      </c>
      <c r="C24" s="14" t="s">
        <v>295</v>
      </c>
      <c r="D24" s="23" t="s">
        <v>394</v>
      </c>
      <c r="E24" s="28">
        <v>56762.57</v>
      </c>
      <c r="F24" s="29">
        <f t="shared" si="4"/>
        <v>7403.8134782608704</v>
      </c>
      <c r="G24" s="29">
        <f t="shared" si="3"/>
        <v>49358.756521739131</v>
      </c>
      <c r="H24" s="7">
        <f t="shared" si="2"/>
        <v>23865.84</v>
      </c>
      <c r="I24" s="19">
        <v>47731.68</v>
      </c>
      <c r="J24" s="19"/>
      <c r="K24" s="19">
        <v>1627.08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>
        <f t="shared" si="0"/>
        <v>49358.76</v>
      </c>
      <c r="AB24" s="7">
        <f t="shared" si="1"/>
        <v>-3.4782608709065244E-3</v>
      </c>
    </row>
    <row r="25" spans="2:28">
      <c r="B25" s="17">
        <v>45719</v>
      </c>
      <c r="C25" s="14" t="s">
        <v>235</v>
      </c>
      <c r="D25" s="23" t="s">
        <v>395</v>
      </c>
      <c r="E25" s="26">
        <v>19012.95</v>
      </c>
      <c r="F25" s="18">
        <f t="shared" si="4"/>
        <v>2479.9499999999998</v>
      </c>
      <c r="G25" s="18">
        <f t="shared" si="3"/>
        <v>16533</v>
      </c>
      <c r="H25" s="7">
        <f t="shared" si="2"/>
        <v>0</v>
      </c>
      <c r="I25" s="5"/>
      <c r="J25" s="5"/>
      <c r="K25" s="5"/>
      <c r="L25" s="5">
        <v>6600</v>
      </c>
      <c r="M25" s="5"/>
      <c r="N25" s="5">
        <v>9933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 t="shared" si="0"/>
        <v>16533</v>
      </c>
      <c r="AB25" s="7">
        <f t="shared" si="1"/>
        <v>0</v>
      </c>
    </row>
    <row r="26" spans="2:28">
      <c r="B26" s="17">
        <v>45719</v>
      </c>
      <c r="C26" s="14" t="s">
        <v>210</v>
      </c>
      <c r="D26" s="23" t="s">
        <v>396</v>
      </c>
      <c r="E26" s="26">
        <v>387.69</v>
      </c>
      <c r="F26" s="18">
        <f t="shared" si="4"/>
        <v>50.568260869565222</v>
      </c>
      <c r="G26" s="18">
        <f t="shared" si="3"/>
        <v>337.12173913043478</v>
      </c>
      <c r="H26" s="7">
        <f t="shared" si="2"/>
        <v>0</v>
      </c>
      <c r="I26" s="5"/>
      <c r="J26" s="5"/>
      <c r="K26" s="5"/>
      <c r="L26" s="5"/>
      <c r="M26" s="5"/>
      <c r="N26" s="5">
        <v>337.12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 t="shared" si="0"/>
        <v>337.12</v>
      </c>
      <c r="AB26" s="7">
        <f t="shared" si="1"/>
        <v>1.7391304347711412E-3</v>
      </c>
    </row>
    <row r="27" spans="2:28">
      <c r="B27" s="17">
        <v>45719</v>
      </c>
      <c r="C27" s="14" t="s">
        <v>259</v>
      </c>
      <c r="D27" s="23" t="s">
        <v>397</v>
      </c>
      <c r="E27" s="26">
        <v>215222.5</v>
      </c>
      <c r="F27" s="18">
        <f t="shared" si="4"/>
        <v>28072.5</v>
      </c>
      <c r="G27" s="18">
        <f t="shared" si="3"/>
        <v>187150</v>
      </c>
      <c r="H27" s="7">
        <f t="shared" si="2"/>
        <v>70000</v>
      </c>
      <c r="I27" s="5">
        <v>140000</v>
      </c>
      <c r="J27" s="5"/>
      <c r="K27" s="5"/>
      <c r="L27" s="5">
        <v>47150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f t="shared" si="0"/>
        <v>187150</v>
      </c>
      <c r="AB27" s="7">
        <f t="shared" si="1"/>
        <v>0</v>
      </c>
    </row>
    <row r="28" spans="2:28">
      <c r="B28" s="17">
        <v>45719</v>
      </c>
      <c r="C28" s="14" t="s">
        <v>205</v>
      </c>
      <c r="D28" s="23" t="s">
        <v>398</v>
      </c>
      <c r="E28" s="26">
        <v>421318.19</v>
      </c>
      <c r="F28" s="18">
        <f t="shared" si="4"/>
        <v>54954.546521739125</v>
      </c>
      <c r="G28" s="18">
        <f t="shared" si="3"/>
        <v>366363.6434782609</v>
      </c>
      <c r="H28" s="7">
        <f t="shared" si="2"/>
        <v>0</v>
      </c>
      <c r="I28" s="5"/>
      <c r="J28" s="5"/>
      <c r="K28" s="5"/>
      <c r="L28" s="5"/>
      <c r="M28" s="5">
        <v>136185</v>
      </c>
      <c r="N28" s="5"/>
      <c r="O28" s="5"/>
      <c r="P28" s="5"/>
      <c r="Q28" s="5"/>
      <c r="R28" s="5">
        <v>226600</v>
      </c>
      <c r="S28" s="5">
        <v>3575</v>
      </c>
      <c r="T28" s="5"/>
      <c r="U28" s="5"/>
      <c r="V28" s="5"/>
      <c r="W28" s="5"/>
      <c r="X28" s="5"/>
      <c r="Y28" s="5">
        <v>3.64</v>
      </c>
      <c r="Z28" s="5">
        <f t="shared" si="0"/>
        <v>366363.64</v>
      </c>
      <c r="AB28" s="7">
        <f t="shared" si="1"/>
        <v>3.4782608854584396E-3</v>
      </c>
    </row>
    <row r="29" spans="2:28">
      <c r="B29" s="17">
        <v>45719</v>
      </c>
      <c r="C29" s="14" t="s">
        <v>295</v>
      </c>
      <c r="D29" s="23" t="s">
        <v>399</v>
      </c>
      <c r="E29" s="26">
        <v>46917.79</v>
      </c>
      <c r="F29" s="18">
        <f t="shared" si="4"/>
        <v>6119.7117391304346</v>
      </c>
      <c r="G29" s="18">
        <f t="shared" si="3"/>
        <v>40798.078260869566</v>
      </c>
      <c r="H29" s="7">
        <f t="shared" si="2"/>
        <v>3314.7</v>
      </c>
      <c r="I29" s="5">
        <v>6629.4</v>
      </c>
      <c r="J29" s="5"/>
      <c r="K29" s="5"/>
      <c r="L29" s="5">
        <v>34168.68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f t="shared" si="0"/>
        <v>40798.080000000002</v>
      </c>
      <c r="AB29" s="7">
        <f t="shared" si="1"/>
        <v>-1.7391304354532622E-3</v>
      </c>
    </row>
    <row r="30" spans="2:28">
      <c r="B30" s="17">
        <v>45719</v>
      </c>
      <c r="C30" s="14" t="s">
        <v>400</v>
      </c>
      <c r="D30" s="23" t="s">
        <v>364</v>
      </c>
      <c r="E30" s="26">
        <v>304180.52</v>
      </c>
      <c r="F30" s="18">
        <f t="shared" si="4"/>
        <v>39675.720000000008</v>
      </c>
      <c r="G30" s="18">
        <f t="shared" si="3"/>
        <v>264504.8</v>
      </c>
      <c r="H30" s="7">
        <f t="shared" si="2"/>
        <v>66875</v>
      </c>
      <c r="I30" s="5">
        <v>133750</v>
      </c>
      <c r="J30" s="5"/>
      <c r="K30" s="5"/>
      <c r="L30" s="5">
        <v>116500</v>
      </c>
      <c r="M30" s="5"/>
      <c r="N30" s="5"/>
      <c r="O30" s="5"/>
      <c r="P30" s="5"/>
      <c r="Q30" s="5"/>
      <c r="R30" s="5"/>
      <c r="S30" s="5">
        <v>11440</v>
      </c>
      <c r="T30" s="5"/>
      <c r="U30" s="5"/>
      <c r="V30" s="5"/>
      <c r="W30" s="5"/>
      <c r="X30" s="5"/>
      <c r="Y30" s="5">
        <v>2814.8</v>
      </c>
      <c r="Z30" s="5">
        <f t="shared" si="0"/>
        <v>264504.8</v>
      </c>
      <c r="AB30" s="7">
        <f t="shared" si="1"/>
        <v>0</v>
      </c>
    </row>
    <row r="31" spans="2:28">
      <c r="B31" s="17">
        <v>45719</v>
      </c>
      <c r="C31" s="14" t="s">
        <v>337</v>
      </c>
      <c r="D31" s="23" t="s">
        <v>339</v>
      </c>
      <c r="E31" s="26">
        <v>75935.08</v>
      </c>
      <c r="F31" s="18">
        <f t="shared" si="4"/>
        <v>9904.5756521739131</v>
      </c>
      <c r="G31" s="18">
        <f t="shared" si="3"/>
        <v>66030.504347826092</v>
      </c>
      <c r="H31" s="7">
        <f t="shared" si="2"/>
        <v>17875</v>
      </c>
      <c r="I31" s="5">
        <v>35750</v>
      </c>
      <c r="J31" s="5"/>
      <c r="K31" s="5"/>
      <c r="L31" s="5">
        <v>30000</v>
      </c>
      <c r="M31" s="5"/>
      <c r="N31" s="5"/>
      <c r="O31" s="5"/>
      <c r="P31" s="5"/>
      <c r="Q31" s="5"/>
      <c r="R31" s="5"/>
      <c r="S31" s="5">
        <v>280.5</v>
      </c>
      <c r="T31" s="5"/>
      <c r="U31" s="5"/>
      <c r="V31" s="5"/>
      <c r="W31" s="5"/>
      <c r="X31" s="5"/>
      <c r="Y31" s="5"/>
      <c r="Z31" s="5">
        <f t="shared" si="0"/>
        <v>66030.5</v>
      </c>
      <c r="AB31" s="7">
        <f t="shared" si="1"/>
        <v>4.3478260922711343E-3</v>
      </c>
    </row>
    <row r="32" spans="2:28">
      <c r="B32" s="17">
        <v>45719</v>
      </c>
      <c r="C32" s="14" t="s">
        <v>392</v>
      </c>
      <c r="D32" s="23" t="s">
        <v>401</v>
      </c>
      <c r="E32" s="26">
        <v>121759.93</v>
      </c>
      <c r="F32" s="18">
        <f t="shared" si="4"/>
        <v>15881.73</v>
      </c>
      <c r="G32" s="18">
        <f t="shared" si="3"/>
        <v>105878.2</v>
      </c>
      <c r="H32" s="7">
        <f t="shared" si="2"/>
        <v>23750</v>
      </c>
      <c r="I32" s="5">
        <v>47500</v>
      </c>
      <c r="J32" s="5"/>
      <c r="K32" s="5"/>
      <c r="L32" s="5">
        <v>50400</v>
      </c>
      <c r="M32" s="5"/>
      <c r="N32" s="5"/>
      <c r="O32" s="5"/>
      <c r="P32" s="5"/>
      <c r="Q32" s="5"/>
      <c r="R32" s="5"/>
      <c r="S32" s="5">
        <v>7800</v>
      </c>
      <c r="T32" s="5"/>
      <c r="U32" s="5"/>
      <c r="V32" s="5"/>
      <c r="W32" s="5"/>
      <c r="X32" s="5"/>
      <c r="Y32" s="5">
        <v>178.2</v>
      </c>
      <c r="Z32" s="5">
        <f t="shared" si="0"/>
        <v>105878.2</v>
      </c>
      <c r="AB32" s="7">
        <f t="shared" si="1"/>
        <v>0</v>
      </c>
    </row>
    <row r="33" spans="2:28">
      <c r="B33" s="17">
        <v>45720</v>
      </c>
      <c r="C33" s="14" t="s">
        <v>382</v>
      </c>
      <c r="D33" s="23" t="s">
        <v>332</v>
      </c>
      <c r="E33" s="26">
        <v>34500</v>
      </c>
      <c r="F33" s="18">
        <f t="shared" si="4"/>
        <v>4500</v>
      </c>
      <c r="G33" s="18">
        <f t="shared" si="3"/>
        <v>30000</v>
      </c>
      <c r="H33" s="7">
        <f t="shared" si="2"/>
        <v>3000</v>
      </c>
      <c r="I33" s="5">
        <v>6000</v>
      </c>
      <c r="J33" s="5"/>
      <c r="K33" s="5"/>
      <c r="L33" s="5">
        <v>36000</v>
      </c>
      <c r="M33" s="5"/>
      <c r="N33" s="5"/>
      <c r="O33" s="5"/>
      <c r="P33" s="5"/>
      <c r="Q33" s="5">
        <v>30000</v>
      </c>
      <c r="R33" s="5"/>
      <c r="S33" s="5">
        <v>1200</v>
      </c>
      <c r="T33" s="5"/>
      <c r="U33" s="5"/>
      <c r="V33" s="5">
        <v>1500</v>
      </c>
      <c r="W33" s="5"/>
      <c r="X33" s="5"/>
      <c r="Y33" s="5"/>
      <c r="Z33" s="5">
        <f t="shared" si="0"/>
        <v>74700</v>
      </c>
      <c r="AB33" s="7">
        <f t="shared" si="1"/>
        <v>-44700</v>
      </c>
    </row>
    <row r="34" spans="2:28">
      <c r="B34" s="17">
        <v>45720</v>
      </c>
      <c r="C34" s="14" t="s">
        <v>382</v>
      </c>
      <c r="D34" s="23" t="s">
        <v>336</v>
      </c>
      <c r="E34" s="26">
        <v>34500</v>
      </c>
      <c r="F34" s="18">
        <f t="shared" si="4"/>
        <v>4500</v>
      </c>
      <c r="G34" s="18">
        <f t="shared" si="3"/>
        <v>30000</v>
      </c>
      <c r="H34" s="1">
        <f t="shared" si="2"/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f t="shared" si="0"/>
        <v>0</v>
      </c>
      <c r="AB34" s="7">
        <f t="shared" si="1"/>
        <v>30000</v>
      </c>
    </row>
    <row r="35" spans="2:28">
      <c r="B35" s="17">
        <v>45719</v>
      </c>
      <c r="C35" s="14" t="s">
        <v>402</v>
      </c>
      <c r="D35" s="23"/>
      <c r="E35" s="26">
        <v>386549</v>
      </c>
      <c r="F35" s="18">
        <v>0</v>
      </c>
      <c r="G35" s="18">
        <f t="shared" si="3"/>
        <v>386549</v>
      </c>
      <c r="H35" s="1">
        <f t="shared" si="2"/>
        <v>0</v>
      </c>
      <c r="I35" s="5">
        <v>0</v>
      </c>
      <c r="J35" s="5">
        <v>222069</v>
      </c>
      <c r="K35" s="5">
        <v>69875</v>
      </c>
      <c r="L35" s="5">
        <v>8500</v>
      </c>
      <c r="M35" s="5"/>
      <c r="N35" s="5"/>
      <c r="O35" s="5"/>
      <c r="P35" s="5"/>
      <c r="Q35" s="5"/>
      <c r="R35" s="5">
        <v>78030</v>
      </c>
      <c r="S35" s="5">
        <v>8075</v>
      </c>
      <c r="T35" s="5"/>
      <c r="U35" s="5"/>
      <c r="V35" s="5"/>
      <c r="W35" s="5"/>
      <c r="X35" s="5"/>
      <c r="Y35" s="5"/>
      <c r="Z35" s="5">
        <f t="shared" si="0"/>
        <v>386549</v>
      </c>
      <c r="AB35" s="7">
        <f t="shared" si="1"/>
        <v>0</v>
      </c>
    </row>
    <row r="36" spans="2:28">
      <c r="B36" s="17">
        <v>45727</v>
      </c>
      <c r="C36" s="14" t="s">
        <v>392</v>
      </c>
      <c r="D36" s="23" t="s">
        <v>403</v>
      </c>
      <c r="E36" s="26">
        <v>581900</v>
      </c>
      <c r="F36" s="18">
        <f t="shared" si="4"/>
        <v>75900</v>
      </c>
      <c r="G36" s="18">
        <f t="shared" si="3"/>
        <v>506000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>
        <v>506000</v>
      </c>
      <c r="Y36" s="5"/>
      <c r="Z36" s="5">
        <f t="shared" si="0"/>
        <v>506000</v>
      </c>
      <c r="AB36" s="7">
        <f t="shared" si="1"/>
        <v>0</v>
      </c>
    </row>
    <row r="37" spans="2:28">
      <c r="B37" s="17">
        <v>45727</v>
      </c>
      <c r="C37" s="14" t="s">
        <v>259</v>
      </c>
      <c r="D37" s="23" t="s">
        <v>404</v>
      </c>
      <c r="E37" s="26">
        <v>223794.28</v>
      </c>
      <c r="F37" s="18">
        <f t="shared" si="4"/>
        <v>29190.558260869566</v>
      </c>
      <c r="G37" s="18">
        <f t="shared" si="3"/>
        <v>194603.72173913044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>
        <v>194603.72</v>
      </c>
      <c r="Y37" s="5"/>
      <c r="Z37" s="5">
        <f t="shared" si="0"/>
        <v>194603.72</v>
      </c>
      <c r="AB37" s="7">
        <f t="shared" si="1"/>
        <v>1.7391304427292198E-3</v>
      </c>
    </row>
    <row r="38" spans="2:28">
      <c r="B38" s="17">
        <v>45730</v>
      </c>
      <c r="C38" s="14" t="s">
        <v>378</v>
      </c>
      <c r="D38" s="23" t="s">
        <v>405</v>
      </c>
      <c r="E38" s="26">
        <v>10144.549999999999</v>
      </c>
      <c r="F38" s="18">
        <f t="shared" si="4"/>
        <v>1323.2021739130435</v>
      </c>
      <c r="G38" s="18">
        <f t="shared" si="3"/>
        <v>8821.347826086956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>
        <v>8821.35</v>
      </c>
      <c r="Y38" s="5"/>
      <c r="Z38" s="5">
        <f t="shared" si="0"/>
        <v>8821.35</v>
      </c>
      <c r="AB38" s="7">
        <f t="shared" si="1"/>
        <v>-2.1739130443165777E-3</v>
      </c>
    </row>
    <row r="39" spans="2:28">
      <c r="B39" s="17">
        <v>45740</v>
      </c>
      <c r="C39" s="14" t="s">
        <v>392</v>
      </c>
      <c r="D39" s="23" t="s">
        <v>406</v>
      </c>
      <c r="E39" s="26">
        <v>207000</v>
      </c>
      <c r="F39" s="18">
        <f t="shared" si="4"/>
        <v>27000</v>
      </c>
      <c r="G39" s="18">
        <f t="shared" si="3"/>
        <v>180000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>
        <v>180000</v>
      </c>
      <c r="Y39" s="5"/>
      <c r="Z39" s="5">
        <f t="shared" si="0"/>
        <v>180000</v>
      </c>
      <c r="AB39" s="7">
        <f t="shared" si="1"/>
        <v>0</v>
      </c>
    </row>
    <row r="40" spans="2:28">
      <c r="B40" s="17">
        <v>45743</v>
      </c>
      <c r="C40" s="14" t="s">
        <v>407</v>
      </c>
      <c r="D40" s="23" t="s">
        <v>408</v>
      </c>
      <c r="E40" s="26">
        <v>230000</v>
      </c>
      <c r="F40" s="18">
        <v>0</v>
      </c>
      <c r="G40" s="18">
        <f t="shared" si="3"/>
        <v>230000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v>230000</v>
      </c>
      <c r="W40" s="5"/>
      <c r="X40" s="5"/>
      <c r="Y40" s="5"/>
      <c r="Z40" s="5">
        <f t="shared" si="0"/>
        <v>230000</v>
      </c>
      <c r="AB40" s="7">
        <f t="shared" si="1"/>
        <v>0</v>
      </c>
    </row>
    <row r="41" spans="2:28">
      <c r="B41" s="17">
        <v>45743</v>
      </c>
      <c r="C41" s="14" t="s">
        <v>382</v>
      </c>
      <c r="D41" s="23" t="s">
        <v>409</v>
      </c>
      <c r="E41" s="26">
        <v>34500</v>
      </c>
      <c r="F41" s="18">
        <f t="shared" si="4"/>
        <v>4500</v>
      </c>
      <c r="G41" s="18">
        <f t="shared" si="3"/>
        <v>30000</v>
      </c>
      <c r="I41" s="5"/>
      <c r="J41" s="5"/>
      <c r="K41" s="5"/>
      <c r="L41" s="5">
        <v>13500</v>
      </c>
      <c r="M41" s="5"/>
      <c r="N41" s="5"/>
      <c r="O41" s="5"/>
      <c r="P41" s="5"/>
      <c r="Q41" s="5"/>
      <c r="R41" s="5"/>
      <c r="S41" s="5"/>
      <c r="T41" s="5"/>
      <c r="U41" s="5"/>
      <c r="V41" s="5">
        <v>48000</v>
      </c>
      <c r="W41" s="5"/>
      <c r="X41" s="5"/>
      <c r="Y41" s="5"/>
      <c r="Z41" s="5">
        <f t="shared" si="0"/>
        <v>61500</v>
      </c>
      <c r="AB41" s="7">
        <f t="shared" si="1"/>
        <v>-31500</v>
      </c>
    </row>
    <row r="42" spans="2:28">
      <c r="B42" s="17">
        <v>45747</v>
      </c>
      <c r="C42" s="14" t="s">
        <v>378</v>
      </c>
      <c r="D42" s="23" t="s">
        <v>410</v>
      </c>
      <c r="E42" s="26">
        <v>19149.14</v>
      </c>
      <c r="F42" s="18">
        <f t="shared" si="4"/>
        <v>2497.713913043478</v>
      </c>
      <c r="G42" s="18">
        <f t="shared" si="3"/>
        <v>16651.426086956522</v>
      </c>
      <c r="I42" s="5"/>
      <c r="J42" s="5">
        <v>16651.43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f t="shared" si="0"/>
        <v>16651.43</v>
      </c>
      <c r="AB42" s="7">
        <f t="shared" si="1"/>
        <v>-3.9130434779508505E-3</v>
      </c>
    </row>
    <row r="43" spans="2:28">
      <c r="B43" s="17">
        <v>45747</v>
      </c>
      <c r="C43" s="14" t="s">
        <v>411</v>
      </c>
      <c r="D43" s="23" t="s">
        <v>412</v>
      </c>
      <c r="E43" s="26">
        <v>0</v>
      </c>
      <c r="F43" s="18">
        <f t="shared" si="4"/>
        <v>0</v>
      </c>
      <c r="G43" s="18">
        <f t="shared" si="3"/>
        <v>0</v>
      </c>
      <c r="I43" s="5"/>
      <c r="J43" s="5"/>
      <c r="K43" s="5"/>
      <c r="L43" s="5"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f t="shared" si="0"/>
        <v>0</v>
      </c>
      <c r="AB43" s="7">
        <f t="shared" si="1"/>
        <v>0</v>
      </c>
    </row>
    <row r="44" spans="2:28">
      <c r="B44" s="17">
        <v>45747</v>
      </c>
      <c r="C44" s="14" t="s">
        <v>210</v>
      </c>
      <c r="D44" s="23" t="s">
        <v>413</v>
      </c>
      <c r="E44" s="26">
        <v>1748.49</v>
      </c>
      <c r="F44" s="18">
        <f t="shared" si="4"/>
        <v>228.06391304347824</v>
      </c>
      <c r="G44" s="18">
        <f t="shared" si="3"/>
        <v>1520.4260869565219</v>
      </c>
      <c r="I44" s="5"/>
      <c r="J44" s="5"/>
      <c r="K44" s="5"/>
      <c r="L44" s="5"/>
      <c r="M44" s="5"/>
      <c r="N44" s="5">
        <v>1520.43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f t="shared" si="0"/>
        <v>1520.43</v>
      </c>
      <c r="AB44" s="7">
        <f t="shared" si="1"/>
        <v>-3.9130434781782242E-3</v>
      </c>
    </row>
    <row r="45" spans="2:28">
      <c r="B45" s="17">
        <v>45747</v>
      </c>
      <c r="C45" s="14" t="s">
        <v>295</v>
      </c>
      <c r="D45" s="23" t="s">
        <v>414</v>
      </c>
      <c r="E45" s="26">
        <v>193344.37</v>
      </c>
      <c r="F45" s="18">
        <f t="shared" si="4"/>
        <v>25218.830869565216</v>
      </c>
      <c r="G45" s="18">
        <f t="shared" si="3"/>
        <v>168125.53913043477</v>
      </c>
      <c r="I45" s="5"/>
      <c r="J45" s="5"/>
      <c r="K45" s="5"/>
      <c r="L45" s="5">
        <v>4411.03</v>
      </c>
      <c r="M45" s="5"/>
      <c r="N45" s="5">
        <v>7346.12</v>
      </c>
      <c r="O45" s="5"/>
      <c r="P45" s="5"/>
      <c r="Q45" s="5">
        <v>138721.57999999999</v>
      </c>
      <c r="R45" s="5"/>
      <c r="S45" s="5">
        <v>4536.6099999999997</v>
      </c>
      <c r="T45" s="5"/>
      <c r="U45" s="5"/>
      <c r="V45" s="5"/>
      <c r="W45" s="5"/>
      <c r="X45" s="5"/>
      <c r="Y45" s="5">
        <v>13110.2</v>
      </c>
      <c r="Z45" s="5">
        <f t="shared" si="0"/>
        <v>168125.53999999998</v>
      </c>
      <c r="AB45" s="7">
        <f t="shared" si="1"/>
        <v>-8.6956520681269467E-4</v>
      </c>
    </row>
    <row r="46" spans="2:28">
      <c r="B46" s="17">
        <v>45747</v>
      </c>
      <c r="C46" s="14" t="s">
        <v>295</v>
      </c>
      <c r="D46" s="23" t="s">
        <v>415</v>
      </c>
      <c r="E46" s="26">
        <v>31429.96</v>
      </c>
      <c r="F46" s="18">
        <f t="shared" si="4"/>
        <v>4099.5599999999995</v>
      </c>
      <c r="G46" s="18">
        <f t="shared" si="3"/>
        <v>27330.400000000001</v>
      </c>
      <c r="H46" s="1">
        <f t="shared" ref="H46" si="5">+I46*50%</f>
        <v>12300.434999999999</v>
      </c>
      <c r="I46" s="5">
        <v>24600.87</v>
      </c>
      <c r="J46" s="5"/>
      <c r="K46" s="5"/>
      <c r="L46" s="5">
        <v>1257.9000000000001</v>
      </c>
      <c r="M46" s="5"/>
      <c r="N46" s="5"/>
      <c r="O46" s="5"/>
      <c r="P46" s="5"/>
      <c r="Q46" s="5"/>
      <c r="R46" s="5"/>
      <c r="S46" s="5">
        <v>1471.63</v>
      </c>
      <c r="T46" s="5"/>
      <c r="U46" s="5"/>
      <c r="V46" s="5"/>
      <c r="W46" s="5"/>
      <c r="X46" s="5"/>
      <c r="Y46" s="5"/>
      <c r="Z46" s="5">
        <f t="shared" si="0"/>
        <v>27330.400000000001</v>
      </c>
      <c r="AB46" s="7">
        <f t="shared" si="1"/>
        <v>0</v>
      </c>
    </row>
    <row r="47" spans="2:28">
      <c r="B47" s="17">
        <v>45747</v>
      </c>
      <c r="C47" s="14" t="s">
        <v>295</v>
      </c>
      <c r="D47" s="23" t="s">
        <v>416</v>
      </c>
      <c r="E47" s="26">
        <v>88263.24</v>
      </c>
      <c r="F47" s="18">
        <f t="shared" si="4"/>
        <v>11512.596521739131</v>
      </c>
      <c r="G47" s="18">
        <f t="shared" si="3"/>
        <v>76750.64347826087</v>
      </c>
      <c r="I47" s="5"/>
      <c r="J47" s="5"/>
      <c r="K47" s="5"/>
      <c r="L47" s="5">
        <v>4411.03</v>
      </c>
      <c r="M47" s="5"/>
      <c r="N47" s="5">
        <v>7346.12</v>
      </c>
      <c r="O47" s="5"/>
      <c r="P47" s="5"/>
      <c r="Q47" s="5">
        <v>56718.68</v>
      </c>
      <c r="R47" s="5"/>
      <c r="S47" s="5">
        <v>4536.6099999999997</v>
      </c>
      <c r="T47" s="5"/>
      <c r="U47" s="5"/>
      <c r="V47" s="5"/>
      <c r="W47" s="5"/>
      <c r="X47" s="5"/>
      <c r="Y47" s="5">
        <v>3738.2</v>
      </c>
      <c r="Z47" s="5">
        <f t="shared" si="0"/>
        <v>76750.64</v>
      </c>
      <c r="AB47" s="7">
        <f t="shared" si="1"/>
        <v>3.4782608709065244E-3</v>
      </c>
    </row>
    <row r="48" spans="2:28">
      <c r="B48" s="17">
        <v>45747</v>
      </c>
      <c r="C48" s="14" t="s">
        <v>295</v>
      </c>
      <c r="D48" s="23" t="s">
        <v>417</v>
      </c>
      <c r="E48" s="26">
        <v>53293.86</v>
      </c>
      <c r="F48" s="18">
        <f t="shared" si="4"/>
        <v>6951.373043478261</v>
      </c>
      <c r="G48" s="18">
        <f t="shared" si="3"/>
        <v>46342.486956521738</v>
      </c>
      <c r="I48" s="5"/>
      <c r="J48" s="5"/>
      <c r="K48" s="5"/>
      <c r="L48" s="5">
        <v>4411.03</v>
      </c>
      <c r="M48" s="5"/>
      <c r="N48" s="5">
        <v>7346.12</v>
      </c>
      <c r="O48" s="5"/>
      <c r="P48" s="5"/>
      <c r="Q48" s="5">
        <v>29384.38</v>
      </c>
      <c r="R48" s="5"/>
      <c r="S48" s="5">
        <v>3983.36</v>
      </c>
      <c r="T48" s="5"/>
      <c r="U48" s="5"/>
      <c r="V48" s="5"/>
      <c r="W48" s="5"/>
      <c r="X48" s="5"/>
      <c r="Y48" s="5">
        <v>1217.5999999999999</v>
      </c>
      <c r="Z48" s="5">
        <f t="shared" si="0"/>
        <v>46342.49</v>
      </c>
      <c r="AB48" s="7">
        <f t="shared" si="1"/>
        <v>-3.0434782602242194E-3</v>
      </c>
    </row>
    <row r="49" spans="2:28">
      <c r="B49" s="17">
        <v>45747</v>
      </c>
      <c r="C49" s="14" t="s">
        <v>295</v>
      </c>
      <c r="D49" s="23" t="s">
        <v>418</v>
      </c>
      <c r="E49" s="26">
        <v>39632.6</v>
      </c>
      <c r="F49" s="18">
        <f t="shared" si="4"/>
        <v>5169.4695652173914</v>
      </c>
      <c r="G49" s="18">
        <f t="shared" si="3"/>
        <v>34463.130434782608</v>
      </c>
      <c r="I49" s="5"/>
      <c r="J49" s="5"/>
      <c r="K49" s="5"/>
      <c r="L49" s="5">
        <v>4411.03</v>
      </c>
      <c r="M49" s="5"/>
      <c r="N49" s="5">
        <v>14272.91</v>
      </c>
      <c r="O49" s="5"/>
      <c r="P49" s="5">
        <v>365.14</v>
      </c>
      <c r="Q49" s="5">
        <v>7516.94</v>
      </c>
      <c r="R49" s="5"/>
      <c r="S49" s="5">
        <v>4536.6099999999997</v>
      </c>
      <c r="T49" s="5"/>
      <c r="U49" s="5"/>
      <c r="V49" s="5"/>
      <c r="W49" s="5"/>
      <c r="X49" s="5"/>
      <c r="Y49" s="5">
        <v>3360.5</v>
      </c>
      <c r="Z49" s="5">
        <f t="shared" si="0"/>
        <v>34463.129999999997</v>
      </c>
      <c r="AB49" s="7">
        <f t="shared" si="1"/>
        <v>4.3478261068230495E-4</v>
      </c>
    </row>
    <row r="50" spans="2:28">
      <c r="B50" s="17">
        <v>45747</v>
      </c>
      <c r="C50" s="14" t="s">
        <v>295</v>
      </c>
      <c r="D50" s="23" t="s">
        <v>419</v>
      </c>
      <c r="E50" s="26">
        <v>118913.60000000001</v>
      </c>
      <c r="F50" s="18">
        <f t="shared" si="4"/>
        <v>15510.46956521739</v>
      </c>
      <c r="G50" s="18">
        <f t="shared" si="3"/>
        <v>103403.13043478262</v>
      </c>
      <c r="I50" s="5"/>
      <c r="J50" s="5"/>
      <c r="K50" s="5"/>
      <c r="L50" s="5">
        <v>4411.03</v>
      </c>
      <c r="M50" s="5"/>
      <c r="N50" s="5">
        <v>15279.23</v>
      </c>
      <c r="O50" s="5"/>
      <c r="P50" s="5">
        <v>365.14</v>
      </c>
      <c r="Q50" s="5">
        <v>78586.12</v>
      </c>
      <c r="R50" s="5"/>
      <c r="S50" s="5">
        <v>4536.6099999999997</v>
      </c>
      <c r="T50" s="5"/>
      <c r="U50" s="5"/>
      <c r="V50" s="5"/>
      <c r="W50" s="5"/>
      <c r="X50" s="5"/>
      <c r="Y50" s="5">
        <v>225</v>
      </c>
      <c r="Z50" s="5">
        <f t="shared" si="0"/>
        <v>103403.12999999999</v>
      </c>
      <c r="AB50" s="7">
        <f t="shared" si="1"/>
        <v>4.3478263251017779E-4</v>
      </c>
    </row>
    <row r="51" spans="2:28">
      <c r="B51" s="17">
        <v>45747</v>
      </c>
      <c r="C51" s="14" t="s">
        <v>295</v>
      </c>
      <c r="D51" s="23" t="s">
        <v>420</v>
      </c>
      <c r="E51" s="26">
        <v>1429800.24</v>
      </c>
      <c r="F51" s="18">
        <f t="shared" si="4"/>
        <v>186495.68347826088</v>
      </c>
      <c r="G51" s="18">
        <f t="shared" si="3"/>
        <v>1243304.5565217391</v>
      </c>
      <c r="H51" s="1">
        <f t="shared" ref="H51" si="6">+I51*50%</f>
        <v>226903.71</v>
      </c>
      <c r="I51" s="5">
        <v>453807.42</v>
      </c>
      <c r="J51" s="5">
        <v>165515.17000000001</v>
      </c>
      <c r="K51" s="5">
        <v>192269.32</v>
      </c>
      <c r="L51" s="5"/>
      <c r="M51" s="5">
        <v>210056.91</v>
      </c>
      <c r="N51" s="5">
        <v>111986.88</v>
      </c>
      <c r="O51" s="5"/>
      <c r="P51" s="5">
        <v>83194.960000000006</v>
      </c>
      <c r="Q51" s="5"/>
      <c r="R51" s="5"/>
      <c r="S51" s="5"/>
      <c r="T51" s="5"/>
      <c r="U51" s="5"/>
      <c r="V51" s="5"/>
      <c r="W51" s="5"/>
      <c r="X51" s="5"/>
      <c r="Y51" s="5">
        <v>26473.9</v>
      </c>
      <c r="Z51" s="5">
        <f t="shared" si="0"/>
        <v>1243304.5599999998</v>
      </c>
      <c r="AB51" s="7">
        <f t="shared" si="1"/>
        <v>-3.4782607108354568E-3</v>
      </c>
    </row>
    <row r="52" spans="2:28">
      <c r="B52" s="17">
        <v>45747</v>
      </c>
      <c r="C52" s="14" t="s">
        <v>295</v>
      </c>
      <c r="D52" s="23" t="s">
        <v>421</v>
      </c>
      <c r="E52" s="20">
        <v>7245</v>
      </c>
      <c r="F52" s="18">
        <f t="shared" si="4"/>
        <v>945</v>
      </c>
      <c r="G52" s="18">
        <f t="shared" ref="G52:G75" si="7">E52-F52</f>
        <v>6300</v>
      </c>
      <c r="I52" s="5"/>
      <c r="J52" s="5"/>
      <c r="K52" s="5"/>
      <c r="L52" s="5"/>
      <c r="M52" s="5"/>
      <c r="N52" s="5"/>
      <c r="O52" s="5">
        <v>6300</v>
      </c>
      <c r="P52" s="5"/>
      <c r="Q52" s="5"/>
      <c r="R52" s="5"/>
      <c r="S52" s="5"/>
      <c r="T52" s="5"/>
      <c r="U52" s="5"/>
      <c r="V52" s="5"/>
      <c r="W52" s="5"/>
      <c r="X52" s="5"/>
      <c r="Y52" s="5">
        <v>0</v>
      </c>
      <c r="Z52" s="5">
        <f t="shared" ref="Z52:Z76" si="8">SUM(I52:Y52)</f>
        <v>6300</v>
      </c>
      <c r="AB52" s="7">
        <f t="shared" si="1"/>
        <v>0</v>
      </c>
    </row>
    <row r="53" spans="2:28">
      <c r="B53" s="17">
        <v>45747</v>
      </c>
      <c r="C53" s="14" t="s">
        <v>235</v>
      </c>
      <c r="D53" s="23" t="s">
        <v>422</v>
      </c>
      <c r="E53" s="20">
        <v>7400.25</v>
      </c>
      <c r="F53" s="18">
        <f t="shared" si="4"/>
        <v>965.25</v>
      </c>
      <c r="G53" s="18">
        <f t="shared" si="7"/>
        <v>6435</v>
      </c>
      <c r="I53" s="5"/>
      <c r="J53" s="5"/>
      <c r="K53" s="5"/>
      <c r="L53" s="5">
        <v>2970</v>
      </c>
      <c r="M53" s="5"/>
      <c r="N53" s="5">
        <v>3465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f t="shared" si="8"/>
        <v>6435</v>
      </c>
      <c r="AB53" s="7">
        <f t="shared" si="1"/>
        <v>0</v>
      </c>
    </row>
    <row r="54" spans="2:28">
      <c r="B54" s="17">
        <v>45747</v>
      </c>
      <c r="C54" s="14" t="s">
        <v>259</v>
      </c>
      <c r="D54" s="23" t="s">
        <v>423</v>
      </c>
      <c r="E54" s="20">
        <v>61375.5</v>
      </c>
      <c r="F54" s="18">
        <f t="shared" si="4"/>
        <v>8005.5</v>
      </c>
      <c r="G54" s="18">
        <f t="shared" si="7"/>
        <v>53370</v>
      </c>
      <c r="H54" s="1">
        <f t="shared" ref="H54:H55" si="9">+I54*50%</f>
        <v>22200</v>
      </c>
      <c r="I54" s="5">
        <v>44400</v>
      </c>
      <c r="J54" s="5"/>
      <c r="K54" s="5"/>
      <c r="L54" s="5">
        <v>8970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f t="shared" si="8"/>
        <v>53370</v>
      </c>
      <c r="AB54" s="7">
        <f t="shared" si="1"/>
        <v>0</v>
      </c>
    </row>
    <row r="55" spans="2:28">
      <c r="B55" s="17">
        <v>45747</v>
      </c>
      <c r="C55" s="14" t="s">
        <v>295</v>
      </c>
      <c r="D55" s="23" t="s">
        <v>424</v>
      </c>
      <c r="E55" s="20">
        <v>23682.59</v>
      </c>
      <c r="F55" s="18">
        <f t="shared" si="4"/>
        <v>3089.0334782608693</v>
      </c>
      <c r="G55" s="18">
        <f t="shared" si="7"/>
        <v>20593.55652173913</v>
      </c>
      <c r="H55" s="1">
        <f t="shared" si="9"/>
        <v>8200.2900000000009</v>
      </c>
      <c r="I55" s="5">
        <v>16400.580000000002</v>
      </c>
      <c r="J55" s="5"/>
      <c r="K55" s="5"/>
      <c r="L55" s="5">
        <v>4192.9799999999996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f t="shared" si="8"/>
        <v>20593.560000000001</v>
      </c>
      <c r="AB55" s="7">
        <f t="shared" si="1"/>
        <v>-3.4782608709065244E-3</v>
      </c>
    </row>
    <row r="56" spans="2:28">
      <c r="B56" s="17">
        <v>45747</v>
      </c>
      <c r="C56" s="14" t="s">
        <v>411</v>
      </c>
      <c r="D56" s="23" t="s">
        <v>425</v>
      </c>
      <c r="E56" s="20">
        <v>0</v>
      </c>
      <c r="F56" s="18">
        <f t="shared" si="4"/>
        <v>0</v>
      </c>
      <c r="G56" s="18">
        <f t="shared" si="7"/>
        <v>0</v>
      </c>
      <c r="I56" s="5"/>
      <c r="J56" s="5"/>
      <c r="K56" s="5"/>
      <c r="L56" s="5"/>
      <c r="M56" s="5"/>
      <c r="N56" s="5">
        <v>0</v>
      </c>
      <c r="O56" s="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f t="shared" si="8"/>
        <v>0</v>
      </c>
      <c r="AB56" s="7">
        <f t="shared" si="1"/>
        <v>0</v>
      </c>
    </row>
    <row r="57" spans="2:28">
      <c r="B57" s="17">
        <v>45747</v>
      </c>
      <c r="C57" s="14" t="s">
        <v>235</v>
      </c>
      <c r="D57" s="23" t="s">
        <v>426</v>
      </c>
      <c r="E57" s="20">
        <v>8925.84</v>
      </c>
      <c r="F57" s="18">
        <f t="shared" si="4"/>
        <v>1164.24</v>
      </c>
      <c r="G57" s="18">
        <f t="shared" si="7"/>
        <v>7761.6</v>
      </c>
      <c r="I57" s="5"/>
      <c r="J57" s="5"/>
      <c r="K57" s="5"/>
      <c r="L57" s="5">
        <v>6276.6</v>
      </c>
      <c r="M57" s="5"/>
      <c r="N57" s="5">
        <v>1485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f t="shared" si="8"/>
        <v>7761.6</v>
      </c>
      <c r="AB57" s="7">
        <f t="shared" si="1"/>
        <v>0</v>
      </c>
    </row>
    <row r="58" spans="2:28">
      <c r="B58" s="17">
        <v>45747</v>
      </c>
      <c r="C58" s="14" t="s">
        <v>205</v>
      </c>
      <c r="D58" s="23" t="s">
        <v>427</v>
      </c>
      <c r="E58" s="20">
        <v>551206.55000000005</v>
      </c>
      <c r="F58" s="18">
        <f t="shared" si="4"/>
        <v>71896.506521739138</v>
      </c>
      <c r="G58" s="18">
        <f t="shared" si="7"/>
        <v>479310.04347826092</v>
      </c>
      <c r="I58" s="5"/>
      <c r="J58" s="5"/>
      <c r="K58" s="5"/>
      <c r="L58" s="5"/>
      <c r="M58" s="5">
        <v>193410</v>
      </c>
      <c r="N58" s="5"/>
      <c r="O58" s="5"/>
      <c r="P58" s="5"/>
      <c r="Q58" s="5">
        <v>115500</v>
      </c>
      <c r="R58" s="5">
        <v>170360</v>
      </c>
      <c r="S58" s="5"/>
      <c r="T58" s="5"/>
      <c r="U58" s="5"/>
      <c r="V58" s="5"/>
      <c r="W58" s="5"/>
      <c r="X58" s="5"/>
      <c r="Y58" s="5">
        <v>40.04</v>
      </c>
      <c r="Z58" s="5">
        <f t="shared" si="8"/>
        <v>479310.04</v>
      </c>
      <c r="AB58" s="7">
        <f t="shared" si="1"/>
        <v>3.4782609436661005E-3</v>
      </c>
    </row>
    <row r="59" spans="2:28">
      <c r="B59" s="17">
        <v>45747</v>
      </c>
      <c r="C59" s="14" t="s">
        <v>411</v>
      </c>
      <c r="D59" s="23" t="s">
        <v>428</v>
      </c>
      <c r="E59" s="20">
        <v>0</v>
      </c>
      <c r="F59" s="18">
        <f t="shared" si="4"/>
        <v>0</v>
      </c>
      <c r="G59" s="18">
        <f t="shared" si="7"/>
        <v>0</v>
      </c>
      <c r="H59" s="1">
        <f t="shared" ref="H59:H60" si="10">+I59*50%</f>
        <v>0</v>
      </c>
      <c r="I59" s="5">
        <v>0</v>
      </c>
      <c r="J59" s="5"/>
      <c r="K59" s="5"/>
      <c r="L59" s="5">
        <v>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f t="shared" si="8"/>
        <v>0</v>
      </c>
      <c r="AB59" s="7">
        <f t="shared" si="1"/>
        <v>0</v>
      </c>
    </row>
    <row r="60" spans="2:28">
      <c r="B60" s="17">
        <v>45747</v>
      </c>
      <c r="C60" s="14" t="s">
        <v>205</v>
      </c>
      <c r="D60" s="23" t="s">
        <v>429</v>
      </c>
      <c r="E60" s="20">
        <v>8711.25</v>
      </c>
      <c r="F60" s="18">
        <f t="shared" si="4"/>
        <v>1136.25</v>
      </c>
      <c r="G60" s="18">
        <f t="shared" si="7"/>
        <v>7575</v>
      </c>
      <c r="H60" s="1">
        <f t="shared" si="10"/>
        <v>3787.5</v>
      </c>
      <c r="I60" s="5">
        <v>7575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f t="shared" si="8"/>
        <v>7575</v>
      </c>
      <c r="AB60" s="7">
        <f t="shared" si="1"/>
        <v>0</v>
      </c>
    </row>
    <row r="61" spans="2:28">
      <c r="B61" s="17">
        <v>45747</v>
      </c>
      <c r="C61" s="14" t="s">
        <v>341</v>
      </c>
      <c r="D61" s="23" t="s">
        <v>430</v>
      </c>
      <c r="E61" s="20">
        <v>12937.5</v>
      </c>
      <c r="F61" s="18">
        <f t="shared" si="4"/>
        <v>1687.5</v>
      </c>
      <c r="G61" s="18">
        <f t="shared" si="7"/>
        <v>11250</v>
      </c>
      <c r="I61" s="5"/>
      <c r="J61" s="5"/>
      <c r="K61" s="5"/>
      <c r="L61" s="5"/>
      <c r="M61" s="5"/>
      <c r="N61" s="5"/>
      <c r="O61" s="5"/>
      <c r="P61" s="5"/>
      <c r="Q61" s="5">
        <v>11250</v>
      </c>
      <c r="R61" s="5"/>
      <c r="S61" s="5"/>
      <c r="T61" s="5"/>
      <c r="U61" s="5"/>
      <c r="V61" s="5"/>
      <c r="W61" s="5"/>
      <c r="X61" s="5"/>
      <c r="Y61" s="5"/>
      <c r="Z61" s="5">
        <f t="shared" si="8"/>
        <v>11250</v>
      </c>
      <c r="AB61" s="7">
        <f t="shared" si="1"/>
        <v>0</v>
      </c>
    </row>
    <row r="62" spans="2:28">
      <c r="B62" s="17">
        <v>45747</v>
      </c>
      <c r="C62" s="14" t="s">
        <v>400</v>
      </c>
      <c r="D62" s="23" t="s">
        <v>431</v>
      </c>
      <c r="E62" s="20">
        <v>309102.40999999997</v>
      </c>
      <c r="F62" s="18">
        <f t="shared" si="4"/>
        <v>40317.705652173907</v>
      </c>
      <c r="G62" s="18">
        <f t="shared" si="7"/>
        <v>268784.70434782607</v>
      </c>
      <c r="H62" s="1">
        <f t="shared" ref="H62:H66" si="11">+I62*50%</f>
        <v>26125</v>
      </c>
      <c r="I62" s="5">
        <v>52250</v>
      </c>
      <c r="J62" s="5"/>
      <c r="K62" s="5"/>
      <c r="L62" s="5">
        <v>51000</v>
      </c>
      <c r="M62" s="5">
        <v>24695</v>
      </c>
      <c r="N62" s="5"/>
      <c r="O62" s="5"/>
      <c r="P62" s="5"/>
      <c r="Q62" s="5">
        <v>132000</v>
      </c>
      <c r="R62" s="5"/>
      <c r="S62" s="5">
        <v>8360</v>
      </c>
      <c r="T62" s="5"/>
      <c r="U62" s="5"/>
      <c r="V62" s="5"/>
      <c r="W62" s="5"/>
      <c r="X62" s="5"/>
      <c r="Y62" s="5">
        <v>479.7</v>
      </c>
      <c r="Z62" s="5">
        <f t="shared" si="8"/>
        <v>268784.7</v>
      </c>
      <c r="AB62" s="7">
        <f t="shared" si="1"/>
        <v>4.3478260631673038E-3</v>
      </c>
    </row>
    <row r="63" spans="2:28">
      <c r="B63" s="17">
        <v>45747</v>
      </c>
      <c r="C63" s="14" t="s">
        <v>411</v>
      </c>
      <c r="D63" s="23" t="s">
        <v>432</v>
      </c>
      <c r="E63" s="20">
        <v>0</v>
      </c>
      <c r="F63" s="18">
        <f t="shared" si="4"/>
        <v>0</v>
      </c>
      <c r="G63" s="18">
        <f t="shared" si="7"/>
        <v>0</v>
      </c>
      <c r="H63" s="1">
        <f t="shared" si="11"/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>
        <v>0</v>
      </c>
      <c r="Q63" s="5"/>
      <c r="R63" s="5">
        <v>0</v>
      </c>
      <c r="S63" s="5"/>
      <c r="T63" s="5"/>
      <c r="U63" s="5"/>
      <c r="V63" s="5"/>
      <c r="W63" s="5"/>
      <c r="X63" s="5"/>
      <c r="Y63" s="5"/>
      <c r="Z63" s="5">
        <f t="shared" si="8"/>
        <v>0</v>
      </c>
      <c r="AB63" s="7">
        <f t="shared" si="1"/>
        <v>0</v>
      </c>
    </row>
    <row r="64" spans="2:28">
      <c r="B64" s="17">
        <v>45747</v>
      </c>
      <c r="C64" s="14" t="s">
        <v>337</v>
      </c>
      <c r="D64" s="23" t="s">
        <v>433</v>
      </c>
      <c r="E64" s="20">
        <v>162182.09</v>
      </c>
      <c r="F64" s="18">
        <f t="shared" si="4"/>
        <v>21154.185652173914</v>
      </c>
      <c r="G64" s="18">
        <f t="shared" si="7"/>
        <v>141027.90434782609</v>
      </c>
      <c r="H64" s="1">
        <f t="shared" si="11"/>
        <v>9625</v>
      </c>
      <c r="I64" s="5">
        <v>19250</v>
      </c>
      <c r="J64" s="5"/>
      <c r="K64" s="5"/>
      <c r="L64" s="5">
        <v>68760</v>
      </c>
      <c r="M64" s="5"/>
      <c r="N64" s="5"/>
      <c r="O64" s="5">
        <v>52160</v>
      </c>
      <c r="P64" s="5"/>
      <c r="Q64" s="5"/>
      <c r="R64" s="5"/>
      <c r="S64" s="5">
        <v>0</v>
      </c>
      <c r="T64" s="5"/>
      <c r="U64" s="5"/>
      <c r="V64" s="5"/>
      <c r="W64" s="5"/>
      <c r="X64" s="5"/>
      <c r="Y64" s="5">
        <v>857.9</v>
      </c>
      <c r="Z64" s="5">
        <f t="shared" si="8"/>
        <v>141027.9</v>
      </c>
      <c r="AB64" s="7">
        <f t="shared" si="1"/>
        <v>4.3478260922711343E-3</v>
      </c>
    </row>
    <row r="65" spans="2:28">
      <c r="B65" s="17">
        <v>45747</v>
      </c>
      <c r="C65" s="14" t="s">
        <v>392</v>
      </c>
      <c r="D65" s="23" t="s">
        <v>434</v>
      </c>
      <c r="E65" s="20">
        <v>411786.6</v>
      </c>
      <c r="F65" s="18">
        <f t="shared" si="4"/>
        <v>53711.295652173911</v>
      </c>
      <c r="G65" s="18">
        <f t="shared" si="7"/>
        <v>358075.30434782605</v>
      </c>
      <c r="H65" s="1">
        <f t="shared" si="11"/>
        <v>49875</v>
      </c>
      <c r="I65" s="5">
        <v>99750</v>
      </c>
      <c r="J65" s="5"/>
      <c r="K65" s="5"/>
      <c r="L65" s="5">
        <v>107800</v>
      </c>
      <c r="M65" s="5"/>
      <c r="N65" s="5"/>
      <c r="O65" s="5">
        <v>134148</v>
      </c>
      <c r="P65" s="5"/>
      <c r="Q65" s="5"/>
      <c r="R65" s="5"/>
      <c r="S65" s="5">
        <v>15810</v>
      </c>
      <c r="T65" s="5"/>
      <c r="U65" s="5"/>
      <c r="V65" s="5"/>
      <c r="W65" s="5"/>
      <c r="X65" s="5"/>
      <c r="Y65" s="5">
        <v>567.29999999999995</v>
      </c>
      <c r="Z65" s="5">
        <f t="shared" si="8"/>
        <v>358075.3</v>
      </c>
      <c r="AB65" s="7">
        <f t="shared" si="1"/>
        <v>4.3478260631673038E-3</v>
      </c>
    </row>
    <row r="66" spans="2:28">
      <c r="B66" s="17">
        <v>45747</v>
      </c>
      <c r="C66" s="14" t="s">
        <v>259</v>
      </c>
      <c r="D66" s="23" t="s">
        <v>435</v>
      </c>
      <c r="E66" s="20">
        <v>422121.3</v>
      </c>
      <c r="F66" s="18">
        <f t="shared" si="4"/>
        <v>55059.3</v>
      </c>
      <c r="G66" s="18">
        <f t="shared" si="7"/>
        <v>367062</v>
      </c>
      <c r="H66" s="1">
        <f t="shared" si="11"/>
        <v>120000</v>
      </c>
      <c r="I66" s="5">
        <v>240000</v>
      </c>
      <c r="J66" s="5"/>
      <c r="K66" s="5"/>
      <c r="L66" s="5">
        <v>47250</v>
      </c>
      <c r="M66" s="5">
        <v>39540</v>
      </c>
      <c r="N66" s="5"/>
      <c r="O66" s="5">
        <v>40272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f t="shared" si="8"/>
        <v>367062</v>
      </c>
      <c r="AB66" s="7">
        <f t="shared" si="1"/>
        <v>0</v>
      </c>
    </row>
    <row r="67" spans="2:28">
      <c r="B67" s="17">
        <v>45747</v>
      </c>
      <c r="C67" s="14" t="s">
        <v>436</v>
      </c>
      <c r="D67" s="23" t="s">
        <v>437</v>
      </c>
      <c r="E67" s="20">
        <v>132825</v>
      </c>
      <c r="F67" s="18">
        <f t="shared" si="4"/>
        <v>17325</v>
      </c>
      <c r="G67" s="18">
        <f t="shared" si="7"/>
        <v>115500</v>
      </c>
      <c r="H67" s="1">
        <f t="shared" ref="H67" si="12">+I67*50%</f>
        <v>38500</v>
      </c>
      <c r="I67" s="5">
        <v>77000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>
        <v>38500</v>
      </c>
      <c r="U67" s="5"/>
      <c r="V67" s="5"/>
      <c r="W67" s="5"/>
      <c r="X67" s="5"/>
      <c r="Y67" s="5"/>
      <c r="Z67" s="5">
        <f t="shared" si="8"/>
        <v>115500</v>
      </c>
      <c r="AB67" s="7">
        <f t="shared" si="1"/>
        <v>0</v>
      </c>
    </row>
    <row r="68" spans="2:28">
      <c r="B68" s="17">
        <v>45747</v>
      </c>
      <c r="C68" s="14" t="s">
        <v>438</v>
      </c>
      <c r="D68" s="23" t="s">
        <v>439</v>
      </c>
      <c r="E68" s="20">
        <v>124200</v>
      </c>
      <c r="F68" s="18">
        <f t="shared" si="4"/>
        <v>16200</v>
      </c>
      <c r="G68" s="18">
        <f t="shared" si="7"/>
        <v>108000</v>
      </c>
      <c r="I68" s="5"/>
      <c r="J68" s="5">
        <v>108000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>
        <f t="shared" si="8"/>
        <v>108000</v>
      </c>
      <c r="AB68" s="7">
        <f t="shared" si="1"/>
        <v>0</v>
      </c>
    </row>
    <row r="69" spans="2:28">
      <c r="B69" s="17">
        <v>45747</v>
      </c>
      <c r="C69" s="14" t="s">
        <v>382</v>
      </c>
      <c r="D69" s="23" t="s">
        <v>440</v>
      </c>
      <c r="E69" s="20">
        <v>34500</v>
      </c>
      <c r="F69" s="18">
        <f t="shared" si="4"/>
        <v>4500</v>
      </c>
      <c r="G69" s="18">
        <f t="shared" si="7"/>
        <v>30000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>
        <f t="shared" si="8"/>
        <v>0</v>
      </c>
      <c r="AB69" s="7">
        <f t="shared" si="1"/>
        <v>30000</v>
      </c>
    </row>
    <row r="70" spans="2:28">
      <c r="B70" s="17">
        <v>45747</v>
      </c>
      <c r="C70" s="14" t="s">
        <v>382</v>
      </c>
      <c r="D70" s="23" t="s">
        <v>441</v>
      </c>
      <c r="E70" s="20">
        <v>34500</v>
      </c>
      <c r="F70" s="18">
        <f t="shared" si="4"/>
        <v>4500</v>
      </c>
      <c r="G70" s="18">
        <f t="shared" si="7"/>
        <v>30000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>
        <f t="shared" si="8"/>
        <v>0</v>
      </c>
      <c r="AB70" s="7">
        <f t="shared" si="1"/>
        <v>30000</v>
      </c>
    </row>
    <row r="71" spans="2:28">
      <c r="B71" s="17">
        <v>45747</v>
      </c>
      <c r="C71" s="14" t="s">
        <v>402</v>
      </c>
      <c r="D71" s="23"/>
      <c r="E71" s="20">
        <v>351609.54</v>
      </c>
      <c r="F71" s="18">
        <v>0</v>
      </c>
      <c r="G71" s="18">
        <f t="shared" si="7"/>
        <v>351609.54</v>
      </c>
      <c r="I71" s="5"/>
      <c r="J71" s="5">
        <v>200028.77</v>
      </c>
      <c r="K71" s="5">
        <v>138457.54</v>
      </c>
      <c r="L71" s="5">
        <v>3600</v>
      </c>
      <c r="M71" s="5"/>
      <c r="N71" s="5"/>
      <c r="O71" s="5"/>
      <c r="P71" s="5"/>
      <c r="Q71" s="5"/>
      <c r="R71" s="5"/>
      <c r="S71" s="5">
        <v>9523.23</v>
      </c>
      <c r="T71" s="5"/>
      <c r="U71" s="5"/>
      <c r="V71" s="5"/>
      <c r="W71" s="5"/>
      <c r="X71" s="5"/>
      <c r="Y71" s="5"/>
      <c r="Z71" s="5">
        <f t="shared" si="8"/>
        <v>351609.54</v>
      </c>
      <c r="AB71" s="7">
        <f t="shared" si="1"/>
        <v>0</v>
      </c>
    </row>
    <row r="72" spans="2:28">
      <c r="B72" s="17">
        <v>45382</v>
      </c>
      <c r="C72" s="14" t="s">
        <v>337</v>
      </c>
      <c r="D72" s="23" t="s">
        <v>442</v>
      </c>
      <c r="E72" s="20">
        <v>32775</v>
      </c>
      <c r="F72" s="18">
        <f t="shared" si="4"/>
        <v>4275</v>
      </c>
      <c r="G72" s="18">
        <f t="shared" si="7"/>
        <v>28500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>
        <v>28500</v>
      </c>
      <c r="Y72" s="5"/>
      <c r="Z72" s="5">
        <f t="shared" si="8"/>
        <v>28500</v>
      </c>
      <c r="AB72" s="7">
        <f t="shared" ref="AB72:AB76" si="13">G72-Z72</f>
        <v>0</v>
      </c>
    </row>
    <row r="73" spans="2:28">
      <c r="B73" s="17">
        <v>45382</v>
      </c>
      <c r="C73" s="14" t="s">
        <v>259</v>
      </c>
      <c r="D73" s="23" t="s">
        <v>443</v>
      </c>
      <c r="E73" s="20">
        <v>11666.64</v>
      </c>
      <c r="F73" s="18">
        <v>0</v>
      </c>
      <c r="G73" s="18">
        <f t="shared" si="7"/>
        <v>11666.64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11666.64</v>
      </c>
      <c r="Y73" s="5"/>
      <c r="Z73" s="5">
        <f t="shared" si="8"/>
        <v>11666.64</v>
      </c>
      <c r="AB73" s="7">
        <f t="shared" si="13"/>
        <v>0</v>
      </c>
    </row>
    <row r="74" spans="2:28">
      <c r="B74" s="17">
        <v>45382</v>
      </c>
      <c r="C74" s="14" t="s">
        <v>243</v>
      </c>
      <c r="D74" s="23" t="s">
        <v>444</v>
      </c>
      <c r="E74" s="20">
        <v>53590</v>
      </c>
      <c r="F74" s="18">
        <f t="shared" si="4"/>
        <v>6990</v>
      </c>
      <c r="G74" s="18">
        <f t="shared" si="7"/>
        <v>46600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>
        <v>46600</v>
      </c>
      <c r="Y74" s="5"/>
      <c r="Z74" s="5">
        <f t="shared" si="8"/>
        <v>46600</v>
      </c>
      <c r="AB74" s="7">
        <f t="shared" si="13"/>
        <v>0</v>
      </c>
    </row>
    <row r="75" spans="2:28">
      <c r="B75" s="17">
        <v>45382</v>
      </c>
      <c r="C75" s="14" t="s">
        <v>392</v>
      </c>
      <c r="D75" s="23" t="s">
        <v>445</v>
      </c>
      <c r="E75" s="20">
        <v>729675</v>
      </c>
      <c r="F75" s="18">
        <f t="shared" si="4"/>
        <v>95175</v>
      </c>
      <c r="G75" s="18">
        <f t="shared" si="7"/>
        <v>634500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>
        <v>634500</v>
      </c>
      <c r="Y75" s="5"/>
      <c r="Z75" s="5">
        <f t="shared" si="8"/>
        <v>634500</v>
      </c>
      <c r="AB75" s="7">
        <f t="shared" si="13"/>
        <v>0</v>
      </c>
    </row>
    <row r="76" spans="2:28">
      <c r="B76" s="17"/>
      <c r="C76" s="14"/>
      <c r="D76" s="23"/>
      <c r="E76" s="20"/>
      <c r="F76" s="18"/>
      <c r="G76" s="1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>
        <f t="shared" si="8"/>
        <v>0</v>
      </c>
      <c r="AB76" s="7">
        <f t="shared" si="13"/>
        <v>0</v>
      </c>
    </row>
    <row r="77" spans="2:28">
      <c r="B77" s="17"/>
      <c r="C77" s="14"/>
      <c r="D77" s="14"/>
      <c r="E77" s="18"/>
      <c r="F77" s="18"/>
      <c r="G77" s="1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B77" s="7"/>
    </row>
    <row r="78" spans="2:28" ht="12" thickBot="1">
      <c r="E78" s="8">
        <f t="shared" ref="E78:F78" si="14">SUM(E7:E77)</f>
        <v>9885612.7199999988</v>
      </c>
      <c r="F78" s="8">
        <f t="shared" si="14"/>
        <v>1161624.4617391308</v>
      </c>
      <c r="G78" s="8">
        <f>SUM(G7:G77)</f>
        <v>8723988.2582608685</v>
      </c>
      <c r="H78" s="8">
        <f t="shared" ref="H78:AB78" si="15">SUM(H7:H77)</f>
        <v>996681.69000000006</v>
      </c>
      <c r="I78" s="8">
        <f t="shared" si="15"/>
        <v>1993363.3800000001</v>
      </c>
      <c r="J78" s="8">
        <f t="shared" si="15"/>
        <v>798581.98</v>
      </c>
      <c r="K78" s="8">
        <f t="shared" si="15"/>
        <v>658489.32999999996</v>
      </c>
      <c r="L78" s="8">
        <f t="shared" si="15"/>
        <v>673482.60000000009</v>
      </c>
      <c r="M78" s="8">
        <f t="shared" si="15"/>
        <v>603886.91</v>
      </c>
      <c r="N78" s="8">
        <f t="shared" si="15"/>
        <v>356769.61</v>
      </c>
      <c r="O78" s="8">
        <f t="shared" si="15"/>
        <v>232880</v>
      </c>
      <c r="P78" s="8">
        <f t="shared" si="15"/>
        <v>124788.18000000001</v>
      </c>
      <c r="Q78" s="8">
        <f t="shared" si="15"/>
        <v>674302.7</v>
      </c>
      <c r="R78" s="8">
        <f t="shared" si="15"/>
        <v>474990</v>
      </c>
      <c r="S78" s="8">
        <f t="shared" si="15"/>
        <v>93065.159999999989</v>
      </c>
      <c r="T78" s="8">
        <f t="shared" si="15"/>
        <v>38500</v>
      </c>
      <c r="U78" s="8">
        <f t="shared" si="15"/>
        <v>0</v>
      </c>
      <c r="V78" s="8">
        <f t="shared" si="15"/>
        <v>279500</v>
      </c>
      <c r="W78" s="8">
        <f t="shared" si="15"/>
        <v>0</v>
      </c>
      <c r="X78" s="8">
        <f t="shared" si="15"/>
        <v>1610691.71</v>
      </c>
      <c r="Y78" s="8">
        <f t="shared" si="15"/>
        <v>69896.679999999978</v>
      </c>
      <c r="Z78" s="8">
        <f t="shared" si="15"/>
        <v>8683188.2399999984</v>
      </c>
      <c r="AA78" s="8">
        <f t="shared" si="15"/>
        <v>0</v>
      </c>
      <c r="AB78" s="8">
        <f t="shared" si="15"/>
        <v>40800.018260869976</v>
      </c>
    </row>
    <row r="79" spans="2:28" ht="12" thickTop="1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2:28" ht="12.75" thickBot="1">
      <c r="G80" s="1" t="s">
        <v>63</v>
      </c>
      <c r="H80" s="8">
        <f>(I78/2)-H78</f>
        <v>0</v>
      </c>
      <c r="I80" s="5">
        <f>I78/2</f>
        <v>996681.69000000006</v>
      </c>
      <c r="J80" s="5"/>
      <c r="K80" s="71" t="s">
        <v>170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9:27" ht="12" thickTop="1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9:27">
      <c r="I82" s="5"/>
      <c r="J82" s="5"/>
      <c r="K82" s="5" t="s">
        <v>446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9:27">
      <c r="I83" s="62"/>
      <c r="J83" s="5"/>
      <c r="K83" s="5" t="s">
        <v>447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9:27">
      <c r="I84" s="62"/>
      <c r="J84" s="5"/>
      <c r="K84" s="5" t="s">
        <v>170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9:27">
      <c r="I85" s="62"/>
      <c r="J85" s="20"/>
      <c r="K85" s="5" t="s">
        <v>448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9:27">
      <c r="I86" s="6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9:27">
      <c r="I87" s="62"/>
      <c r="K87" s="5"/>
    </row>
    <row r="88" spans="9:27">
      <c r="I88" s="62"/>
    </row>
    <row r="89" spans="9:27">
      <c r="I89" s="7"/>
    </row>
    <row r="90" spans="9:27">
      <c r="I90" s="7"/>
    </row>
    <row r="91" spans="9:27">
      <c r="I91" s="7"/>
    </row>
    <row r="93" spans="9:27">
      <c r="I93" s="7"/>
    </row>
  </sheetData>
  <mergeCells count="1">
    <mergeCell ref="I5:Z5"/>
  </mergeCells>
  <pageMargins left="0.7" right="0.7" top="0.75" bottom="0.75" header="0.3" footer="0.3"/>
  <pageSetup paperSize="9" scale="2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84E1-31F4-442C-B0BC-22CAA5FA28EE}">
  <dimension ref="B2:AF33"/>
  <sheetViews>
    <sheetView zoomScale="80" zoomScaleNormal="80" workbookViewId="0">
      <selection activeCell="B22" sqref="B22"/>
    </sheetView>
  </sheetViews>
  <sheetFormatPr defaultColWidth="8.7109375" defaultRowHeight="11.25"/>
  <cols>
    <col min="1" max="1" width="8.7109375" style="1"/>
    <col min="2" max="2" width="25.7109375" style="1" bestFit="1" customWidth="1"/>
    <col min="3" max="3" width="13.28515625" style="1" bestFit="1" customWidth="1"/>
    <col min="4" max="4" width="8.7109375" style="1"/>
    <col min="5" max="5" width="12.7109375" style="1" bestFit="1" customWidth="1"/>
    <col min="6" max="6" width="11.140625" style="7" bestFit="1" customWidth="1"/>
    <col min="7" max="7" width="10.28515625" style="7" bestFit="1" customWidth="1"/>
    <col min="8" max="8" width="18.28515625" style="7" bestFit="1" customWidth="1"/>
    <col min="9" max="9" width="8.7109375" style="1"/>
    <col min="10" max="10" width="10.7109375" style="1" bestFit="1" customWidth="1"/>
    <col min="11" max="11" width="11.28515625" style="1" bestFit="1" customWidth="1"/>
    <col min="12" max="12" width="8.42578125" style="1" bestFit="1" customWidth="1"/>
    <col min="13" max="13" width="8.7109375" style="1"/>
    <col min="14" max="14" width="15.28515625" style="1" bestFit="1" customWidth="1"/>
    <col min="15" max="15" width="10.5703125" style="1" bestFit="1" customWidth="1"/>
    <col min="16" max="16" width="19.28515625" style="1" bestFit="1" customWidth="1"/>
    <col min="17" max="17" width="21.28515625" style="1" bestFit="1" customWidth="1"/>
    <col min="18" max="18" width="17.140625" style="1" bestFit="1" customWidth="1"/>
    <col min="19" max="19" width="18.5703125" style="1" bestFit="1" customWidth="1"/>
    <col min="20" max="22" width="18.5703125" style="1" customWidth="1"/>
    <col min="23" max="23" width="23.5703125" style="1" bestFit="1" customWidth="1"/>
    <col min="24" max="24" width="21.7109375" style="1" bestFit="1" customWidth="1"/>
    <col min="25" max="28" width="18.5703125" style="1" customWidth="1"/>
    <col min="29" max="29" width="34.85546875" style="1" bestFit="1" customWidth="1"/>
    <col min="30" max="30" width="16.7109375" style="1" bestFit="1" customWidth="1"/>
    <col min="31" max="31" width="8.7109375" style="1"/>
    <col min="32" max="32" width="10.140625" style="1" bestFit="1" customWidth="1"/>
    <col min="33" max="16384" width="8.7109375" style="1"/>
  </cols>
  <sheetData>
    <row r="2" spans="2:32" ht="15.75">
      <c r="B2" s="2" t="s">
        <v>449</v>
      </c>
    </row>
    <row r="3" spans="2:32" ht="12"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</row>
    <row r="4" spans="2:32" ht="12">
      <c r="B4" s="25" t="s">
        <v>182</v>
      </c>
      <c r="C4" s="25" t="s">
        <v>191</v>
      </c>
      <c r="D4" s="25" t="s">
        <v>192</v>
      </c>
      <c r="E4" s="25" t="s">
        <v>193</v>
      </c>
      <c r="F4" s="72" t="s">
        <v>184</v>
      </c>
      <c r="G4" s="72" t="s">
        <v>194</v>
      </c>
      <c r="H4" s="72" t="s">
        <v>195</v>
      </c>
      <c r="J4" s="25" t="s">
        <v>196</v>
      </c>
      <c r="K4" s="25" t="s">
        <v>184</v>
      </c>
      <c r="N4" s="4" t="s">
        <v>114</v>
      </c>
      <c r="O4" s="4" t="s">
        <v>197</v>
      </c>
      <c r="P4" s="4" t="s">
        <v>198</v>
      </c>
      <c r="Q4" s="4" t="s">
        <v>35</v>
      </c>
      <c r="R4" s="4" t="s">
        <v>37</v>
      </c>
      <c r="S4" s="4" t="s">
        <v>39</v>
      </c>
      <c r="T4" s="4" t="s">
        <v>40</v>
      </c>
      <c r="U4" s="4" t="s">
        <v>41</v>
      </c>
      <c r="V4" s="4" t="s">
        <v>199</v>
      </c>
      <c r="W4" s="4" t="s">
        <v>43</v>
      </c>
      <c r="X4" s="4" t="s">
        <v>44</v>
      </c>
      <c r="Y4" s="4" t="s">
        <v>180</v>
      </c>
      <c r="Z4" s="4" t="s">
        <v>450</v>
      </c>
      <c r="AA4" s="4" t="s">
        <v>201</v>
      </c>
      <c r="AB4" s="4" t="s">
        <v>202</v>
      </c>
      <c r="AC4" s="4" t="s">
        <v>203</v>
      </c>
      <c r="AD4" s="4" t="s">
        <v>204</v>
      </c>
      <c r="AF4" s="25" t="s">
        <v>63</v>
      </c>
    </row>
    <row r="5" spans="2:32">
      <c r="B5" s="1" t="s">
        <v>235</v>
      </c>
      <c r="F5" s="7">
        <v>17115.45</v>
      </c>
      <c r="G5" s="7">
        <f>+F5*15%</f>
        <v>2567.3175000000001</v>
      </c>
      <c r="H5" s="7">
        <f>+F5-G5</f>
        <v>14548.1325</v>
      </c>
      <c r="J5" s="1" t="s">
        <v>451</v>
      </c>
      <c r="K5" s="1">
        <v>17115.45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F5" s="5">
        <f t="shared" ref="AF5:AF27" si="0">H5-AD5</f>
        <v>14548.1325</v>
      </c>
    </row>
    <row r="6" spans="2:32">
      <c r="B6" s="1" t="s">
        <v>243</v>
      </c>
      <c r="C6" s="6" t="s">
        <v>452</v>
      </c>
      <c r="D6" s="54" t="s">
        <v>350</v>
      </c>
      <c r="E6" s="1" t="s">
        <v>453</v>
      </c>
      <c r="F6" s="19">
        <v>70380</v>
      </c>
      <c r="G6" s="5">
        <f>F6*15/115</f>
        <v>9180</v>
      </c>
      <c r="H6" s="5">
        <f t="shared" ref="H6:H27" si="1">F6-G6</f>
        <v>61200</v>
      </c>
      <c r="J6" s="6" t="s">
        <v>451</v>
      </c>
      <c r="K6" s="5">
        <v>70380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61200</v>
      </c>
      <c r="AC6" s="5"/>
      <c r="AD6" s="5">
        <f t="shared" ref="AD6:AD28" si="2">SUM(N6:AC6)</f>
        <v>61200</v>
      </c>
      <c r="AE6" s="5"/>
      <c r="AF6" s="5">
        <f t="shared" si="0"/>
        <v>0</v>
      </c>
    </row>
    <row r="7" spans="2:32">
      <c r="B7" s="1" t="s">
        <v>243</v>
      </c>
      <c r="C7" s="6" t="s">
        <v>240</v>
      </c>
      <c r="D7" s="54" t="s">
        <v>350</v>
      </c>
      <c r="E7" s="1" t="s">
        <v>393</v>
      </c>
      <c r="F7" s="19">
        <v>1172705.05</v>
      </c>
      <c r="G7" s="5">
        <f t="shared" ref="G7:G27" si="3">F7*15/115</f>
        <v>152961.52826086956</v>
      </c>
      <c r="H7" s="5">
        <f t="shared" si="1"/>
        <v>1019743.5217391305</v>
      </c>
      <c r="J7" s="6" t="s">
        <v>451</v>
      </c>
      <c r="K7" s="5">
        <v>1172705.05</v>
      </c>
      <c r="N7" s="5">
        <v>509602.6</v>
      </c>
      <c r="O7" s="5">
        <v>69569.36</v>
      </c>
      <c r="P7" s="5">
        <v>248124.99</v>
      </c>
      <c r="Q7" s="5"/>
      <c r="R7" s="5"/>
      <c r="S7" s="5">
        <v>140793.71</v>
      </c>
      <c r="T7" s="5"/>
      <c r="U7" s="5">
        <v>36569.26</v>
      </c>
      <c r="V7" s="5"/>
      <c r="W7" s="5"/>
      <c r="X7" s="5"/>
      <c r="Y7" s="5"/>
      <c r="Z7" s="5"/>
      <c r="AA7" s="5"/>
      <c r="AB7" s="5"/>
      <c r="AC7" s="5">
        <v>15083.6</v>
      </c>
      <c r="AD7" s="5">
        <f t="shared" si="2"/>
        <v>1019743.5199999999</v>
      </c>
      <c r="AE7" s="5"/>
      <c r="AF7" s="5">
        <f t="shared" si="0"/>
        <v>1.7391305882483721E-3</v>
      </c>
    </row>
    <row r="8" spans="2:32">
      <c r="B8" s="1" t="s">
        <v>235</v>
      </c>
      <c r="C8" s="6" t="s">
        <v>359</v>
      </c>
      <c r="D8" s="54" t="s">
        <v>237</v>
      </c>
      <c r="E8" s="1" t="s">
        <v>422</v>
      </c>
      <c r="F8" s="19">
        <v>7400.25</v>
      </c>
      <c r="G8" s="5">
        <f t="shared" si="3"/>
        <v>965.25</v>
      </c>
      <c r="H8" s="5">
        <f t="shared" si="1"/>
        <v>6435</v>
      </c>
      <c r="J8" s="6" t="s">
        <v>454</v>
      </c>
      <c r="K8" s="5">
        <v>7400.25</v>
      </c>
      <c r="L8" s="7"/>
      <c r="N8" s="5"/>
      <c r="O8" s="5"/>
      <c r="P8" s="5"/>
      <c r="Q8" s="5">
        <v>2970</v>
      </c>
      <c r="R8" s="5"/>
      <c r="S8" s="5">
        <v>3465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>
        <f t="shared" si="2"/>
        <v>6435</v>
      </c>
      <c r="AE8" s="5"/>
      <c r="AF8" s="5">
        <f t="shared" si="0"/>
        <v>0</v>
      </c>
    </row>
    <row r="9" spans="2:32">
      <c r="B9" s="1" t="s">
        <v>235</v>
      </c>
      <c r="C9" s="6" t="s">
        <v>359</v>
      </c>
      <c r="D9" s="1" t="s">
        <v>455</v>
      </c>
      <c r="E9" s="1" t="s">
        <v>426</v>
      </c>
      <c r="F9" s="19">
        <v>8925.84</v>
      </c>
      <c r="G9" s="5">
        <f t="shared" si="3"/>
        <v>1164.24</v>
      </c>
      <c r="H9" s="5">
        <f t="shared" si="1"/>
        <v>7761.6</v>
      </c>
      <c r="J9" s="6" t="s">
        <v>454</v>
      </c>
      <c r="K9" s="5">
        <v>8925.84</v>
      </c>
      <c r="N9" s="5"/>
      <c r="O9" s="5"/>
      <c r="P9" s="5"/>
      <c r="Q9" s="5">
        <v>6276.6</v>
      </c>
      <c r="R9" s="5"/>
      <c r="S9" s="5">
        <v>1485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>
        <f t="shared" si="2"/>
        <v>7761.6</v>
      </c>
      <c r="AE9" s="5"/>
      <c r="AF9" s="5">
        <f t="shared" si="0"/>
        <v>0</v>
      </c>
    </row>
    <row r="10" spans="2:32">
      <c r="B10" s="1" t="s">
        <v>284</v>
      </c>
      <c r="C10" s="6" t="s">
        <v>285</v>
      </c>
      <c r="D10" s="1" t="s">
        <v>286</v>
      </c>
      <c r="E10" s="1" t="s">
        <v>287</v>
      </c>
      <c r="F10" s="19">
        <v>31190</v>
      </c>
      <c r="G10" s="5">
        <f t="shared" si="3"/>
        <v>4068.2608695652175</v>
      </c>
      <c r="H10" s="5">
        <f t="shared" si="1"/>
        <v>27121.739130434784</v>
      </c>
      <c r="J10" s="6" t="s">
        <v>456</v>
      </c>
      <c r="K10" s="5">
        <v>31190</v>
      </c>
      <c r="N10" s="5"/>
      <c r="O10" s="5"/>
      <c r="P10" s="5"/>
      <c r="Q10" s="5"/>
      <c r="R10" s="5"/>
      <c r="S10" s="5"/>
      <c r="T10" s="5"/>
      <c r="U10" s="5"/>
      <c r="V10" s="5">
        <v>2556.52</v>
      </c>
      <c r="W10" s="5"/>
      <c r="X10" s="5"/>
      <c r="Y10" s="5"/>
      <c r="Z10" s="5"/>
      <c r="AA10" s="5"/>
      <c r="AB10" s="5">
        <v>24565.22</v>
      </c>
      <c r="AC10" s="5"/>
      <c r="AD10" s="5">
        <f t="shared" si="2"/>
        <v>27121.74</v>
      </c>
      <c r="AE10" s="5"/>
      <c r="AF10" s="5">
        <f t="shared" si="0"/>
        <v>-8.6956521772663109E-4</v>
      </c>
    </row>
    <row r="11" spans="2:32">
      <c r="B11" s="1" t="s">
        <v>243</v>
      </c>
      <c r="C11" s="6" t="s">
        <v>457</v>
      </c>
      <c r="D11" s="1" t="s">
        <v>350</v>
      </c>
      <c r="E11" s="1" t="s">
        <v>403</v>
      </c>
      <c r="F11" s="19">
        <v>581900</v>
      </c>
      <c r="G11" s="5">
        <f t="shared" si="3"/>
        <v>75900</v>
      </c>
      <c r="H11" s="5">
        <f t="shared" si="1"/>
        <v>506000</v>
      </c>
      <c r="J11" s="6" t="s">
        <v>458</v>
      </c>
      <c r="K11" s="5">
        <v>581900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506000</v>
      </c>
      <c r="AC11" s="5"/>
      <c r="AD11" s="5">
        <f t="shared" si="2"/>
        <v>506000</v>
      </c>
      <c r="AE11" s="5"/>
      <c r="AF11" s="5">
        <f t="shared" si="0"/>
        <v>0</v>
      </c>
    </row>
    <row r="12" spans="2:32">
      <c r="B12" s="1" t="s">
        <v>459</v>
      </c>
      <c r="C12" s="6" t="s">
        <v>460</v>
      </c>
      <c r="D12" s="1" t="s">
        <v>461</v>
      </c>
      <c r="E12" s="1" t="s">
        <v>462</v>
      </c>
      <c r="F12" s="19">
        <v>39543.730000000003</v>
      </c>
      <c r="G12" s="5">
        <f t="shared" si="3"/>
        <v>5157.8778260869567</v>
      </c>
      <c r="H12" s="5">
        <f t="shared" si="1"/>
        <v>34385.852173913045</v>
      </c>
      <c r="J12" s="6" t="s">
        <v>463</v>
      </c>
      <c r="K12" s="5">
        <v>39543.730000000003</v>
      </c>
      <c r="N12" s="5">
        <v>3780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30605.85</v>
      </c>
      <c r="AA12" s="5"/>
      <c r="AB12" s="5"/>
      <c r="AC12" s="5"/>
      <c r="AD12" s="5">
        <f t="shared" si="2"/>
        <v>34385.85</v>
      </c>
      <c r="AE12" s="5"/>
      <c r="AF12" s="5">
        <f t="shared" si="0"/>
        <v>2.1739130461355671E-3</v>
      </c>
    </row>
    <row r="13" spans="2:32">
      <c r="B13" s="1" t="s">
        <v>459</v>
      </c>
      <c r="C13" s="6" t="s">
        <v>464</v>
      </c>
      <c r="D13" s="1" t="s">
        <v>461</v>
      </c>
      <c r="E13" s="1" t="s">
        <v>465</v>
      </c>
      <c r="F13" s="19">
        <v>311176.63</v>
      </c>
      <c r="G13" s="5">
        <f t="shared" si="3"/>
        <v>40588.25608695652</v>
      </c>
      <c r="H13" s="5">
        <f t="shared" si="1"/>
        <v>270588.37391304347</v>
      </c>
      <c r="J13" s="6" t="s">
        <v>463</v>
      </c>
      <c r="K13" s="5">
        <v>311176.63</v>
      </c>
      <c r="N13" s="5">
        <v>45360</v>
      </c>
      <c r="O13" s="5">
        <v>1242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223986.37</v>
      </c>
      <c r="AA13" s="5"/>
      <c r="AB13" s="5"/>
      <c r="AC13" s="5"/>
      <c r="AD13" s="5">
        <f t="shared" si="2"/>
        <v>270588.37</v>
      </c>
      <c r="AE13" s="5"/>
      <c r="AF13" s="5">
        <f t="shared" si="0"/>
        <v>3.9130434743128717E-3</v>
      </c>
    </row>
    <row r="14" spans="2:32">
      <c r="B14" s="1" t="s">
        <v>459</v>
      </c>
      <c r="C14" s="6" t="s">
        <v>466</v>
      </c>
      <c r="D14" s="1" t="s">
        <v>467</v>
      </c>
      <c r="E14" s="1" t="s">
        <v>468</v>
      </c>
      <c r="F14" s="19">
        <v>14482.47</v>
      </c>
      <c r="G14" s="5">
        <f t="shared" si="3"/>
        <v>1889.0178260869563</v>
      </c>
      <c r="H14" s="5">
        <f t="shared" si="1"/>
        <v>12593.452173913043</v>
      </c>
      <c r="J14" s="6" t="s">
        <v>463</v>
      </c>
      <c r="K14" s="5">
        <v>14482.47</v>
      </c>
      <c r="N14" s="5">
        <v>6781.1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5812.35</v>
      </c>
      <c r="AA14" s="5"/>
      <c r="AB14" s="5"/>
      <c r="AC14" s="5"/>
      <c r="AD14" s="5">
        <f t="shared" si="2"/>
        <v>12593.45</v>
      </c>
      <c r="AE14" s="5"/>
      <c r="AF14" s="5">
        <f t="shared" si="0"/>
        <v>2.1739130424975883E-3</v>
      </c>
    </row>
    <row r="15" spans="2:32">
      <c r="B15" s="1" t="s">
        <v>469</v>
      </c>
      <c r="C15" s="6" t="s">
        <v>359</v>
      </c>
      <c r="D15" s="1" t="s">
        <v>470</v>
      </c>
      <c r="E15" s="1" t="s">
        <v>381</v>
      </c>
      <c r="F15" s="19">
        <v>112848.87</v>
      </c>
      <c r="G15" s="5">
        <f t="shared" si="3"/>
        <v>14719.417826086956</v>
      </c>
      <c r="H15" s="5">
        <f t="shared" si="1"/>
        <v>98129.452173913043</v>
      </c>
      <c r="J15" s="6" t="s">
        <v>471</v>
      </c>
      <c r="K15" s="5">
        <v>112848.87</v>
      </c>
      <c r="N15" s="5"/>
      <c r="O15" s="5"/>
      <c r="P15" s="5"/>
      <c r="Q15" s="5"/>
      <c r="R15" s="5"/>
      <c r="S15" s="5"/>
      <c r="T15" s="5"/>
      <c r="U15" s="5"/>
      <c r="V15" s="5">
        <v>87484.65</v>
      </c>
      <c r="W15" s="5"/>
      <c r="X15" s="5">
        <v>9346.6</v>
      </c>
      <c r="Y15" s="5"/>
      <c r="Z15" s="5"/>
      <c r="AA15" s="5"/>
      <c r="AB15" s="5"/>
      <c r="AC15" s="5">
        <v>1298.2</v>
      </c>
      <c r="AD15" s="5">
        <f t="shared" si="2"/>
        <v>98129.45</v>
      </c>
      <c r="AE15" s="5"/>
      <c r="AF15" s="5">
        <f t="shared" si="0"/>
        <v>2.1739130461355671E-3</v>
      </c>
    </row>
    <row r="16" spans="2:32">
      <c r="B16" s="1" t="s">
        <v>205</v>
      </c>
      <c r="C16" s="6" t="s">
        <v>240</v>
      </c>
      <c r="D16" s="1" t="s">
        <v>215</v>
      </c>
      <c r="E16" s="1" t="s">
        <v>398</v>
      </c>
      <c r="F16" s="19">
        <v>421318.19</v>
      </c>
      <c r="G16" s="5">
        <f t="shared" si="3"/>
        <v>54954.546521739125</v>
      </c>
      <c r="H16" s="5">
        <f t="shared" si="1"/>
        <v>366363.6434782609</v>
      </c>
      <c r="J16" s="6" t="s">
        <v>472</v>
      </c>
      <c r="K16" s="5">
        <v>421318.19</v>
      </c>
      <c r="L16" s="7"/>
      <c r="N16" s="5"/>
      <c r="O16" s="5"/>
      <c r="P16" s="5"/>
      <c r="Q16" s="5"/>
      <c r="R16" s="5">
        <v>136185</v>
      </c>
      <c r="S16" s="5"/>
      <c r="T16" s="5"/>
      <c r="U16" s="5"/>
      <c r="V16" s="5"/>
      <c r="W16" s="5">
        <v>226600</v>
      </c>
      <c r="X16" s="5">
        <v>3575</v>
      </c>
      <c r="Y16" s="5"/>
      <c r="Z16" s="5"/>
      <c r="AA16" s="5"/>
      <c r="AB16" s="5"/>
      <c r="AC16" s="5">
        <v>3.64</v>
      </c>
      <c r="AD16" s="5">
        <f t="shared" si="2"/>
        <v>366363.64</v>
      </c>
      <c r="AE16" s="5"/>
      <c r="AF16" s="5">
        <f t="shared" si="0"/>
        <v>3.4782608854584396E-3</v>
      </c>
    </row>
    <row r="17" spans="2:32">
      <c r="B17" s="1" t="s">
        <v>205</v>
      </c>
      <c r="C17" s="6" t="s">
        <v>359</v>
      </c>
      <c r="D17" s="1" t="s">
        <v>215</v>
      </c>
      <c r="E17" s="1" t="s">
        <v>427</v>
      </c>
      <c r="F17" s="19">
        <v>551206.55000000005</v>
      </c>
      <c r="G17" s="5">
        <f t="shared" si="3"/>
        <v>71896.506521739138</v>
      </c>
      <c r="H17" s="5">
        <f t="shared" si="1"/>
        <v>479310.04347826092</v>
      </c>
      <c r="J17" s="6" t="s">
        <v>472</v>
      </c>
      <c r="K17" s="5">
        <v>551206.55000000005</v>
      </c>
      <c r="N17" s="5"/>
      <c r="O17" s="5"/>
      <c r="P17" s="5"/>
      <c r="Q17" s="5"/>
      <c r="R17" s="5">
        <v>193410</v>
      </c>
      <c r="S17" s="5"/>
      <c r="T17" s="5"/>
      <c r="U17" s="5"/>
      <c r="V17" s="5">
        <v>115500</v>
      </c>
      <c r="W17" s="5">
        <v>170360</v>
      </c>
      <c r="X17" s="5"/>
      <c r="Y17" s="5"/>
      <c r="Z17" s="5"/>
      <c r="AA17" s="5"/>
      <c r="AB17" s="5"/>
      <c r="AC17" s="5">
        <v>40.04</v>
      </c>
      <c r="AD17" s="5">
        <f t="shared" si="2"/>
        <v>479310.04</v>
      </c>
      <c r="AE17" s="5"/>
      <c r="AF17" s="5">
        <f t="shared" si="0"/>
        <v>3.4782609436661005E-3</v>
      </c>
    </row>
    <row r="18" spans="2:32">
      <c r="B18" s="1" t="s">
        <v>243</v>
      </c>
      <c r="C18" s="6" t="s">
        <v>240</v>
      </c>
      <c r="D18" s="1" t="s">
        <v>245</v>
      </c>
      <c r="E18" s="1" t="s">
        <v>383</v>
      </c>
      <c r="F18" s="19">
        <v>11955.29</v>
      </c>
      <c r="G18" s="5">
        <f t="shared" si="3"/>
        <v>1559.3856521739131</v>
      </c>
      <c r="H18" s="5">
        <f t="shared" si="1"/>
        <v>10395.904347826088</v>
      </c>
      <c r="J18" s="6" t="s">
        <v>473</v>
      </c>
      <c r="K18" s="5">
        <v>11955.29</v>
      </c>
      <c r="N18" s="5">
        <v>7955.28</v>
      </c>
      <c r="O18" s="5"/>
      <c r="P18" s="5">
        <v>1627.08</v>
      </c>
      <c r="Q18" s="5">
        <v>813.54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f t="shared" si="2"/>
        <v>10395.900000000001</v>
      </c>
      <c r="AE18" s="5"/>
      <c r="AF18" s="5">
        <f t="shared" si="0"/>
        <v>4.347826086814166E-3</v>
      </c>
    </row>
    <row r="19" spans="2:32">
      <c r="B19" s="1" t="s">
        <v>243</v>
      </c>
      <c r="C19" s="6" t="s">
        <v>240</v>
      </c>
      <c r="D19" s="1" t="s">
        <v>251</v>
      </c>
      <c r="E19" s="1" t="s">
        <v>387</v>
      </c>
      <c r="F19" s="19">
        <v>25814.6</v>
      </c>
      <c r="G19" s="5">
        <f t="shared" si="3"/>
        <v>3367.1217391304349</v>
      </c>
      <c r="H19" s="5">
        <f t="shared" si="1"/>
        <v>22447.478260869564</v>
      </c>
      <c r="J19" s="6" t="s">
        <v>473</v>
      </c>
      <c r="K19" s="5">
        <v>25814.6</v>
      </c>
      <c r="N19" s="5">
        <v>15910.56</v>
      </c>
      <c r="O19" s="5"/>
      <c r="P19" s="5">
        <v>6508.32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>
        <v>28.6</v>
      </c>
      <c r="AD19" s="5">
        <f t="shared" si="2"/>
        <v>22447.479999999996</v>
      </c>
      <c r="AE19" s="5"/>
      <c r="AF19" s="5">
        <f t="shared" si="0"/>
        <v>-1.7391304318152834E-3</v>
      </c>
    </row>
    <row r="20" spans="2:32">
      <c r="B20" s="1" t="s">
        <v>243</v>
      </c>
      <c r="C20" s="6" t="s">
        <v>240</v>
      </c>
      <c r="D20" s="1" t="s">
        <v>247</v>
      </c>
      <c r="E20" s="1" t="s">
        <v>399</v>
      </c>
      <c r="F20" s="19">
        <v>46917.79</v>
      </c>
      <c r="G20" s="5">
        <f t="shared" si="3"/>
        <v>6119.7117391304346</v>
      </c>
      <c r="H20" s="5">
        <f t="shared" si="1"/>
        <v>40798.078260869566</v>
      </c>
      <c r="J20" s="6" t="s">
        <v>473</v>
      </c>
      <c r="K20" s="5">
        <v>46917.79</v>
      </c>
      <c r="N20" s="5">
        <v>6629.4</v>
      </c>
      <c r="O20" s="5"/>
      <c r="P20" s="5">
        <v>34168.68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f t="shared" si="2"/>
        <v>40798.080000000002</v>
      </c>
      <c r="AE20" s="5"/>
      <c r="AF20" s="5">
        <f t="shared" si="0"/>
        <v>-1.7391304354532622E-3</v>
      </c>
    </row>
    <row r="21" spans="2:32">
      <c r="B21" s="1" t="s">
        <v>220</v>
      </c>
      <c r="C21" s="6" t="s">
        <v>218</v>
      </c>
      <c r="D21" s="1" t="s">
        <v>222</v>
      </c>
      <c r="E21" s="1" t="s">
        <v>474</v>
      </c>
      <c r="F21" s="19">
        <v>151800</v>
      </c>
      <c r="G21" s="5">
        <f t="shared" si="3"/>
        <v>19800</v>
      </c>
      <c r="H21" s="5">
        <f t="shared" si="1"/>
        <v>132000</v>
      </c>
      <c r="J21" s="6" t="s">
        <v>475</v>
      </c>
      <c r="K21" s="5">
        <v>151800</v>
      </c>
      <c r="N21" s="5"/>
      <c r="O21" s="5"/>
      <c r="P21" s="5"/>
      <c r="Q21" s="5"/>
      <c r="R21" s="5"/>
      <c r="S21" s="5"/>
      <c r="T21" s="5"/>
      <c r="U21" s="5"/>
      <c r="V21" s="5">
        <v>132000</v>
      </c>
      <c r="W21" s="5"/>
      <c r="X21" s="5"/>
      <c r="Y21" s="5"/>
      <c r="Z21" s="5"/>
      <c r="AA21" s="5"/>
      <c r="AB21" s="5"/>
      <c r="AC21" s="5"/>
      <c r="AD21" s="5">
        <f t="shared" si="2"/>
        <v>132000</v>
      </c>
      <c r="AE21" s="5"/>
      <c r="AF21" s="5">
        <f t="shared" si="0"/>
        <v>0</v>
      </c>
    </row>
    <row r="22" spans="2:32">
      <c r="B22" s="47" t="s">
        <v>476</v>
      </c>
      <c r="C22" s="6" t="s">
        <v>477</v>
      </c>
      <c r="F22" s="19">
        <v>529195</v>
      </c>
      <c r="G22" s="5">
        <v>0</v>
      </c>
      <c r="H22" s="5">
        <f t="shared" si="1"/>
        <v>529195</v>
      </c>
      <c r="J22" s="6" t="s">
        <v>477</v>
      </c>
      <c r="K22" s="5">
        <v>529195</v>
      </c>
      <c r="L22" s="7"/>
      <c r="N22" s="5"/>
      <c r="O22" s="5">
        <v>266810</v>
      </c>
      <c r="P22" s="5">
        <v>156010</v>
      </c>
      <c r="Q22" s="5">
        <v>44500</v>
      </c>
      <c r="R22" s="5">
        <v>56375</v>
      </c>
      <c r="S22" s="5"/>
      <c r="T22" s="5"/>
      <c r="U22" s="5"/>
      <c r="V22" s="5">
        <v>5500</v>
      </c>
      <c r="W22" s="5"/>
      <c r="X22" s="5"/>
      <c r="Y22" s="5"/>
      <c r="Z22" s="5"/>
      <c r="AA22" s="5"/>
      <c r="AB22" s="5"/>
      <c r="AC22" s="5"/>
      <c r="AD22" s="5">
        <f t="shared" si="2"/>
        <v>529195</v>
      </c>
      <c r="AE22" s="5"/>
      <c r="AF22" s="5">
        <f t="shared" si="0"/>
        <v>0</v>
      </c>
    </row>
    <row r="23" spans="2:32">
      <c r="B23" s="1" t="s">
        <v>362</v>
      </c>
      <c r="C23" s="6" t="s">
        <v>240</v>
      </c>
      <c r="D23" s="1" t="s">
        <v>363</v>
      </c>
      <c r="E23" s="1" t="s">
        <v>364</v>
      </c>
      <c r="F23" s="19">
        <v>104180.52</v>
      </c>
      <c r="G23" s="5">
        <f t="shared" si="3"/>
        <v>13588.763478260869</v>
      </c>
      <c r="H23" s="5">
        <f t="shared" si="1"/>
        <v>90591.756521739138</v>
      </c>
      <c r="J23" s="6" t="s">
        <v>451</v>
      </c>
      <c r="K23" s="5">
        <v>104180.52</v>
      </c>
      <c r="L23" s="7"/>
      <c r="N23" s="5">
        <v>90591.76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f t="shared" si="2"/>
        <v>90591.76</v>
      </c>
      <c r="AE23" s="5"/>
      <c r="AF23" s="5">
        <f t="shared" si="0"/>
        <v>-3.4782608563546091E-3</v>
      </c>
    </row>
    <row r="24" spans="2:32">
      <c r="B24" s="1" t="s">
        <v>334</v>
      </c>
      <c r="C24" s="6" t="s">
        <v>359</v>
      </c>
      <c r="D24" s="1" t="s">
        <v>335</v>
      </c>
      <c r="E24" s="1" t="s">
        <v>441</v>
      </c>
      <c r="F24" s="19">
        <v>34500</v>
      </c>
      <c r="G24" s="5">
        <f t="shared" si="3"/>
        <v>4500</v>
      </c>
      <c r="H24" s="5">
        <f t="shared" si="1"/>
        <v>30000</v>
      </c>
      <c r="J24" s="6" t="s">
        <v>458</v>
      </c>
      <c r="K24" s="5">
        <v>34500</v>
      </c>
      <c r="L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f t="shared" si="2"/>
        <v>0</v>
      </c>
      <c r="AE24" s="5"/>
      <c r="AF24" s="5">
        <f t="shared" si="0"/>
        <v>30000</v>
      </c>
    </row>
    <row r="25" spans="2:32">
      <c r="B25" s="1" t="s">
        <v>478</v>
      </c>
      <c r="C25" s="6" t="s">
        <v>359</v>
      </c>
      <c r="D25" s="1" t="s">
        <v>331</v>
      </c>
      <c r="E25" s="1" t="s">
        <v>440</v>
      </c>
      <c r="F25" s="19">
        <v>34500</v>
      </c>
      <c r="G25" s="5">
        <f t="shared" si="3"/>
        <v>4500</v>
      </c>
      <c r="H25" s="5">
        <f t="shared" si="1"/>
        <v>30000</v>
      </c>
      <c r="J25" s="6" t="s">
        <v>458</v>
      </c>
      <c r="K25" s="5">
        <v>34500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f t="shared" si="2"/>
        <v>0</v>
      </c>
      <c r="AE25" s="5"/>
      <c r="AF25" s="5">
        <f t="shared" si="0"/>
        <v>30000</v>
      </c>
    </row>
    <row r="26" spans="2:32">
      <c r="B26" s="1" t="s">
        <v>326</v>
      </c>
      <c r="C26" s="6" t="s">
        <v>359</v>
      </c>
      <c r="D26" s="1" t="s">
        <v>255</v>
      </c>
      <c r="E26" s="1" t="s">
        <v>409</v>
      </c>
      <c r="F26" s="19">
        <v>34500</v>
      </c>
      <c r="G26" s="5">
        <f t="shared" si="3"/>
        <v>4500</v>
      </c>
      <c r="H26" s="5">
        <f t="shared" si="1"/>
        <v>30000</v>
      </c>
      <c r="J26" s="6" t="s">
        <v>479</v>
      </c>
      <c r="K26" s="5">
        <v>34500</v>
      </c>
      <c r="N26" s="5"/>
      <c r="O26" s="5"/>
      <c r="P26" s="5"/>
      <c r="Q26" s="5">
        <v>13500</v>
      </c>
      <c r="R26" s="5"/>
      <c r="S26" s="5"/>
      <c r="T26" s="5"/>
      <c r="U26" s="5"/>
      <c r="V26" s="5"/>
      <c r="W26" s="5"/>
      <c r="X26" s="5"/>
      <c r="Y26" s="5"/>
      <c r="Z26" s="5"/>
      <c r="AA26" s="5">
        <v>16500</v>
      </c>
      <c r="AB26" s="5"/>
      <c r="AC26" s="5"/>
      <c r="AD26" s="5">
        <f t="shared" si="2"/>
        <v>30000</v>
      </c>
      <c r="AE26" s="5"/>
      <c r="AF26" s="5">
        <f t="shared" si="0"/>
        <v>0</v>
      </c>
    </row>
    <row r="27" spans="2:32">
      <c r="B27" s="1" t="s">
        <v>480</v>
      </c>
      <c r="C27" s="6" t="s">
        <v>359</v>
      </c>
      <c r="D27" s="1" t="s">
        <v>481</v>
      </c>
      <c r="E27" s="1" t="s">
        <v>437</v>
      </c>
      <c r="F27" s="19">
        <v>132825</v>
      </c>
      <c r="G27" s="5">
        <f t="shared" si="3"/>
        <v>17325</v>
      </c>
      <c r="H27" s="5">
        <f t="shared" si="1"/>
        <v>115500</v>
      </c>
      <c r="J27" s="6" t="s">
        <v>482</v>
      </c>
      <c r="K27" s="5">
        <v>132825</v>
      </c>
      <c r="L27" s="7"/>
      <c r="N27" s="5">
        <v>77000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38500</v>
      </c>
      <c r="Z27" s="5"/>
      <c r="AA27" s="5"/>
      <c r="AB27" s="5"/>
      <c r="AC27" s="5"/>
      <c r="AD27" s="5">
        <f t="shared" si="2"/>
        <v>115500</v>
      </c>
      <c r="AE27" s="5"/>
      <c r="AF27" s="5">
        <f t="shared" si="0"/>
        <v>0</v>
      </c>
    </row>
    <row r="28" spans="2:32">
      <c r="K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f t="shared" si="2"/>
        <v>0</v>
      </c>
      <c r="AE28" s="5"/>
      <c r="AF28" s="5"/>
    </row>
    <row r="29" spans="2:32" ht="12" thickBot="1">
      <c r="F29" s="8">
        <f>SUM(F5:F28)</f>
        <v>4446381.2300000004</v>
      </c>
      <c r="G29" s="8">
        <f>SUM(G6:G28)</f>
        <v>508704.88434782601</v>
      </c>
      <c r="H29" s="8">
        <f>SUM(H6:H28)</f>
        <v>3920560.8956521745</v>
      </c>
      <c r="K29" s="8">
        <f>SUM(K5:K28)</f>
        <v>4446381.2300000004</v>
      </c>
      <c r="N29" s="8">
        <f t="shared" ref="N29:AF29" si="4">SUM(N5:N28)</f>
        <v>763610.70000000007</v>
      </c>
      <c r="O29" s="8">
        <f t="shared" si="4"/>
        <v>337621.36</v>
      </c>
      <c r="P29" s="8">
        <f t="shared" si="4"/>
        <v>446439.07</v>
      </c>
      <c r="Q29" s="8">
        <f t="shared" si="4"/>
        <v>68060.14</v>
      </c>
      <c r="R29" s="8">
        <f t="shared" si="4"/>
        <v>385970</v>
      </c>
      <c r="S29" s="8">
        <f t="shared" si="4"/>
        <v>145743.71</v>
      </c>
      <c r="T29" s="8">
        <f t="shared" si="4"/>
        <v>0</v>
      </c>
      <c r="U29" s="8">
        <f t="shared" si="4"/>
        <v>36569.26</v>
      </c>
      <c r="V29" s="8">
        <f t="shared" si="4"/>
        <v>343041.17</v>
      </c>
      <c r="W29" s="8">
        <f t="shared" si="4"/>
        <v>396960</v>
      </c>
      <c r="X29" s="8">
        <f t="shared" si="4"/>
        <v>12921.6</v>
      </c>
      <c r="Y29" s="8">
        <f t="shared" si="4"/>
        <v>38500</v>
      </c>
      <c r="Z29" s="8">
        <f t="shared" si="4"/>
        <v>260404.57</v>
      </c>
      <c r="AA29" s="8">
        <f t="shared" si="4"/>
        <v>16500</v>
      </c>
      <c r="AB29" s="8">
        <f t="shared" si="4"/>
        <v>591765.22</v>
      </c>
      <c r="AC29" s="8">
        <f t="shared" si="4"/>
        <v>16454.080000000002</v>
      </c>
      <c r="AD29" s="8">
        <f t="shared" si="4"/>
        <v>3860560.88</v>
      </c>
      <c r="AE29" s="8">
        <f t="shared" si="4"/>
        <v>0</v>
      </c>
      <c r="AF29" s="8">
        <f t="shared" si="4"/>
        <v>74548.148152174166</v>
      </c>
    </row>
    <row r="30" spans="2:32" ht="12" thickTop="1"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3" spans="8:8">
      <c r="H33" s="7">
        <f>+H29-H22</f>
        <v>3391365.8956521745</v>
      </c>
    </row>
  </sheetData>
  <mergeCells count="1">
    <mergeCell ref="N3:A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C53D6531CB8D439C4DADAB2B25193E" ma:contentTypeVersion="16" ma:contentTypeDescription="Create a new document." ma:contentTypeScope="" ma:versionID="8e96b5b99e9c96af0a46e127ba8a6ebd">
  <xsd:schema xmlns:xsd="http://www.w3.org/2001/XMLSchema" xmlns:xs="http://www.w3.org/2001/XMLSchema" xmlns:p="http://schemas.microsoft.com/office/2006/metadata/properties" xmlns:ns2="acc36296-462d-4604-ab74-c88980095db6" xmlns:ns3="c1cc9aad-361a-405f-b342-3bf0ee386a85" targetNamespace="http://schemas.microsoft.com/office/2006/metadata/properties" ma:root="true" ma:fieldsID="39325b00e27389979340318095696b50" ns2:_="" ns3:_="">
    <xsd:import namespace="acc36296-462d-4604-ab74-c88980095db6"/>
    <xsd:import namespace="c1cc9aad-361a-405f-b342-3bf0ee386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36296-462d-4604-ab74-c88980095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7d3101-d39c-4d93-b7f7-f48e795fcd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c9aad-361a-405f-b342-3bf0ee386a8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d77179c-ed24-4629-914b-58b49d536a34}" ma:internalName="TaxCatchAll" ma:showField="CatchAllData" ma:web="c1cc9aad-361a-405f-b342-3bf0ee386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cc9aad-361a-405f-b342-3bf0ee386a85" xsi:nil="true"/>
    <lcf76f155ced4ddcb4097134ff3c332f xmlns="acc36296-462d-4604-ab74-c88980095d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25D418-CB53-4ED1-9B14-B676218750CD}"/>
</file>

<file path=customXml/itemProps2.xml><?xml version="1.0" encoding="utf-8"?>
<ds:datastoreItem xmlns:ds="http://schemas.openxmlformats.org/officeDocument/2006/customXml" ds:itemID="{55492E33-C831-4B41-A234-9D0854F592CB}"/>
</file>

<file path=customXml/itemProps3.xml><?xml version="1.0" encoding="utf-8"?>
<ds:datastoreItem xmlns:ds="http://schemas.openxmlformats.org/officeDocument/2006/customXml" ds:itemID="{82407E72-B526-4DBC-9524-FB6081168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Morne Schutte</dc:creator>
  <cp:keywords/>
  <dc:description/>
  <cp:lastModifiedBy>Banzile Nhlebela</cp:lastModifiedBy>
  <cp:revision/>
  <dcterms:created xsi:type="dcterms:W3CDTF">2023-03-09T05:53:48Z</dcterms:created>
  <dcterms:modified xsi:type="dcterms:W3CDTF">2025-06-05T15:29:39Z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0x010100DDC53D6531CB8D439C4DADAB2B25193E</vt:lpwstr>
  </property>
  <property fmtid="{D5CDD505-2E9C-101B-9397-08002B2CF9AE}" pid="3" name="MediaServiceImageTags">
    <vt:lpwstr/>
  </property>
</Properties>
</file>