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lemson\Spring 2023\IE 6650 - Facility Planning\Project\"/>
    </mc:Choice>
  </mc:AlternateContent>
  <xr:revisionPtr revIDLastSave="0" documentId="13_ncr:1_{56F175C3-FE97-47B6-BBF2-4BFA6659CD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2" l="1"/>
  <c r="D63" i="2"/>
  <c r="E50" i="2"/>
  <c r="E51" i="2" s="1"/>
  <c r="C39" i="1"/>
  <c r="C41" i="1" s="1"/>
  <c r="C42" i="1" s="1"/>
  <c r="C43" i="1" s="1"/>
  <c r="J37" i="2"/>
  <c r="J39" i="2" s="1"/>
  <c r="J40" i="2" s="1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6" i="2"/>
  <c r="R6" i="2" s="1"/>
  <c r="C58" i="1"/>
  <c r="C56" i="1"/>
  <c r="C80" i="1"/>
  <c r="D78" i="1" s="1"/>
  <c r="F75" i="1"/>
  <c r="D19" i="1"/>
  <c r="H20" i="1"/>
  <c r="H21" i="1"/>
  <c r="D21" i="1" s="1"/>
  <c r="H19" i="1"/>
  <c r="C28" i="1"/>
  <c r="D28" i="1" s="1"/>
  <c r="C27" i="1"/>
  <c r="D27" i="1" s="1"/>
  <c r="C26" i="1"/>
  <c r="D26" i="1" s="1"/>
  <c r="C25" i="1"/>
  <c r="C24" i="1"/>
  <c r="C23" i="1"/>
  <c r="C22" i="1"/>
  <c r="D22" i="1" s="1"/>
  <c r="C21" i="1"/>
  <c r="C20" i="1"/>
  <c r="D20" i="1" s="1"/>
  <c r="C19" i="1"/>
  <c r="G28" i="1"/>
  <c r="H28" i="1" s="1"/>
  <c r="G27" i="1"/>
  <c r="H27" i="1" s="1"/>
  <c r="G26" i="1"/>
  <c r="H26" i="1" s="1"/>
  <c r="G25" i="1"/>
  <c r="H25" i="1" s="1"/>
  <c r="G24" i="1"/>
  <c r="H24" i="1" s="1"/>
  <c r="D24" i="1" s="1"/>
  <c r="G23" i="1"/>
  <c r="H23" i="1" s="1"/>
  <c r="G22" i="1"/>
  <c r="H22" i="1" s="1"/>
  <c r="G21" i="1"/>
  <c r="G20" i="1"/>
  <c r="F4" i="1"/>
  <c r="B5" i="1"/>
  <c r="F6" i="1"/>
  <c r="B10" i="1"/>
  <c r="F10" i="1"/>
  <c r="B11" i="1"/>
  <c r="L6" i="1"/>
  <c r="L7" i="1"/>
  <c r="I10" i="1"/>
  <c r="H5" i="1"/>
  <c r="H6" i="1"/>
  <c r="H10" i="1"/>
  <c r="H11" i="1"/>
  <c r="R16" i="2" l="1"/>
  <c r="D29" i="1"/>
  <c r="C48" i="1" s="1"/>
  <c r="C49" i="1" s="1"/>
  <c r="C59" i="1" s="1"/>
  <c r="D23" i="1"/>
  <c r="D25" i="1"/>
  <c r="D59" i="2" l="1"/>
  <c r="D66" i="2" s="1"/>
</calcChain>
</file>

<file path=xl/sharedStrings.xml><?xml version="1.0" encoding="utf-8"?>
<sst xmlns="http://schemas.openxmlformats.org/spreadsheetml/2006/main" count="169" uniqueCount="116">
  <si>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</si>
  <si>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</si>
  <si>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</si>
  <si>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</si>
  <si>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</si>
  <si>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</si>
  <si>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</si>
  <si>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</si>
  <si>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</si>
  <si>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</si>
  <si>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sku</t>
  </si>
  <si>
    <t>AISLE 2</t>
  </si>
  <si>
    <t>AISLE 3</t>
  </si>
  <si>
    <t>AISLE 1</t>
  </si>
  <si>
    <t>Right side</t>
  </si>
  <si>
    <t>left side</t>
  </si>
  <si>
    <t>AISLE 4</t>
  </si>
  <si>
    <t>VERTILCAL AISLE 1</t>
  </si>
  <si>
    <t>VERTILCAL AISLE 2</t>
  </si>
  <si>
    <t>FORWARD AREA</t>
  </si>
  <si>
    <t>RESERVE AREA</t>
  </si>
  <si>
    <t>AISLE 2 + 3</t>
  </si>
  <si>
    <t>AISLE 4 +5</t>
  </si>
  <si>
    <t>VERTCIAL 1 + 2</t>
  </si>
  <si>
    <t>VERTICAL 3 + AILSE 6+7</t>
  </si>
  <si>
    <t>DEMAND</t>
  </si>
  <si>
    <t>CARTONS</t>
  </si>
  <si>
    <t>PALLETS</t>
  </si>
  <si>
    <t>NO OF TRIPS</t>
  </si>
  <si>
    <t>DISTANCE TREVELLED TO PICKUP</t>
  </si>
  <si>
    <t>PALLLETS ONLY</t>
  </si>
  <si>
    <t>YES</t>
  </si>
  <si>
    <t>NO</t>
  </si>
  <si>
    <t>CARTON NUMBERS IN RESERVE</t>
  </si>
  <si>
    <t>PALLTEIZED CARTON</t>
  </si>
  <si>
    <t>AVG DISTACNE</t>
  </si>
  <si>
    <t>TOTAL DISTACNE FOR ALL TRIPS TO RESERVE</t>
  </si>
  <si>
    <t>feet</t>
  </si>
  <si>
    <t>forklift speed</t>
  </si>
  <si>
    <t>total distance to be covered in an hour</t>
  </si>
  <si>
    <t>total distance in day of 8 hours</t>
  </si>
  <si>
    <t xml:space="preserve">loading time </t>
  </si>
  <si>
    <t>0.25 min</t>
  </si>
  <si>
    <t xml:space="preserve">unloading time </t>
  </si>
  <si>
    <t xml:space="preserve">time wasted in 350 moves </t>
  </si>
  <si>
    <t>min</t>
  </si>
  <si>
    <t xml:space="preserve">so total available time to travel </t>
  </si>
  <si>
    <t>number of forklifts</t>
  </si>
  <si>
    <t>feet/min</t>
  </si>
  <si>
    <t>A1</t>
  </si>
  <si>
    <t>B1</t>
  </si>
  <si>
    <t>B2</t>
  </si>
  <si>
    <t>C1</t>
  </si>
  <si>
    <t>E1</t>
  </si>
  <si>
    <t>E2</t>
  </si>
  <si>
    <t>SKU</t>
  </si>
  <si>
    <t>Aisle Number</t>
  </si>
  <si>
    <t>32+64</t>
  </si>
  <si>
    <t>44+52+68</t>
  </si>
  <si>
    <t>40+60</t>
  </si>
  <si>
    <t>32+52</t>
  </si>
  <si>
    <t>36+56</t>
  </si>
  <si>
    <t>F1</t>
  </si>
  <si>
    <t>G1</t>
  </si>
  <si>
    <t>G2</t>
  </si>
  <si>
    <t>H1</t>
  </si>
  <si>
    <t>J2</t>
  </si>
  <si>
    <t>J1</t>
  </si>
  <si>
    <t>28+64</t>
  </si>
  <si>
    <t>52+60</t>
  </si>
  <si>
    <t>48+56</t>
  </si>
  <si>
    <t>24+36</t>
  </si>
  <si>
    <t>56+64</t>
  </si>
  <si>
    <t>48+68</t>
  </si>
  <si>
    <t>40+64</t>
  </si>
  <si>
    <t>FORWARD AREA - TOTAL DISTANCE TRAVEL CALCULATIONS</t>
  </si>
  <si>
    <t>Cartons Demand Fulfilled from Forward Area</t>
  </si>
  <si>
    <t>Pallet Demand Fulfilled from Forward Area</t>
  </si>
  <si>
    <t>Total No of Trips in Forward Area</t>
  </si>
  <si>
    <t>Total Distance Travelled for SKU Pickup in Forward Area</t>
  </si>
  <si>
    <t>Total Distance Travelled in Forward Area (Feet)</t>
  </si>
  <si>
    <t>RESERVE AREA - TOTAL DISTANCE TRAVEL CALCULATIONS</t>
  </si>
  <si>
    <t>Remaining Pallet in Aisle</t>
  </si>
  <si>
    <t>Aisle B (B1 &amp; B2)</t>
  </si>
  <si>
    <t>Aisle C (C1 &amp; C2)</t>
  </si>
  <si>
    <t>Aisle D (D1 &amp; D2)</t>
  </si>
  <si>
    <t>Aisle E (E1 &amp; E2)</t>
  </si>
  <si>
    <t>Finding No of Trips in Reserve Area</t>
  </si>
  <si>
    <t>Cartons in Reserve</t>
  </si>
  <si>
    <t>di</t>
  </si>
  <si>
    <t>Palletized cartons in Reserve</t>
  </si>
  <si>
    <t>Full Pallet loads in Reserve (Di)</t>
  </si>
  <si>
    <t>Total No of Trips in Reserve = Total Carton Picks + Total Pallet Picks</t>
  </si>
  <si>
    <t>Average Distance Travelled in Reserve Area (Feet)</t>
  </si>
  <si>
    <t>NUMBER OF FORKLIFTS REQUIRED</t>
  </si>
  <si>
    <t>Min</t>
  </si>
  <si>
    <t>Forklift Speed</t>
  </si>
  <si>
    <t>Feet/Hr</t>
  </si>
  <si>
    <t>Feet/Min</t>
  </si>
  <si>
    <t>Loading Time</t>
  </si>
  <si>
    <t>Unloading Time</t>
  </si>
  <si>
    <t>Number of Forklifts Required</t>
  </si>
  <si>
    <t>Forklifts</t>
  </si>
  <si>
    <t>Parameter</t>
  </si>
  <si>
    <t>Value</t>
  </si>
  <si>
    <t>Unit</t>
  </si>
  <si>
    <t>Total Distance Travelled in 149 Trips (Feet)</t>
  </si>
  <si>
    <t>Number of Staff Labor Required</t>
  </si>
  <si>
    <t>Staff Labors</t>
  </si>
  <si>
    <t>Moves/Hour</t>
  </si>
  <si>
    <t>Maximum moves in Busiest Hour</t>
  </si>
  <si>
    <t xml:space="preserve">Maximum Time Spent for Loading &amp; Unloading </t>
  </si>
  <si>
    <t>Expected Maximum Distance Travelled in Hour</t>
  </si>
  <si>
    <t>Total No of Locations</t>
  </si>
  <si>
    <t>Locations in Forward Area</t>
  </si>
  <si>
    <t>Locations in Reserve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</si>
</sst>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2" xfId="0" applyFill="1" applyBorder="1"/>
    <xf numFmtId="0" fontId="0" fillId="3" borderId="1" xfId="0" applyFill="1" applyBorder="1"/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9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9" xfId="0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0" fontId="2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F741-F1DB-4D71-9C4A-96A815CD0E2D}">
  <dimension ref="B2:R66"/>
  <sheetViews>
    <sheetView tabSelected="1" topLeftCell="A20" zoomScale="79" workbookViewId="0">
      <selection activeCell="I45" sqref="I45"/>
    </sheetView>
  </sheetViews>
  <sheetFormatPr defaultRowHeight="14.5" x14ac:dyDescent="0.35"/>
  <cols>
    <col min="2" max="3" width="23.6328125" customWidth="1"/>
    <col min="4" max="6" width="15.81640625" customWidth="1"/>
    <col min="7" max="7" width="11.36328125" customWidth="1"/>
    <col min="8" max="8" width="14.08984375" customWidth="1"/>
    <col min="9" max="9" width="16.36328125" bestFit="1" customWidth="1"/>
    <col min="10" max="14" width="11.36328125" customWidth="1"/>
    <col min="15" max="15" width="22.90625" customWidth="1"/>
    <col min="16" max="16" width="27.08984375" customWidth="1"/>
    <col min="17" max="17" width="21.36328125" customWidth="1"/>
    <col min="18" max="18" width="35.453125" customWidth="1"/>
  </cols>
  <sheetData>
    <row r="2" spans="2:18" x14ac:dyDescent="0.35">
      <c r="B2" s="29" t="s">
        <v>75</v>
      </c>
      <c r="C2" s="29"/>
      <c r="D2" s="29"/>
      <c r="E2" s="29"/>
      <c r="F2" s="29"/>
      <c r="G2" s="29"/>
      <c r="H2" s="29"/>
    </row>
    <row r="3" spans="2:18" x14ac:dyDescent="0.35">
      <c r="R3">
        <v>7.5</v>
      </c>
    </row>
    <row r="4" spans="2:18" x14ac:dyDescent="0.35">
      <c r="B4" s="25" t="s">
        <v>55</v>
      </c>
      <c r="C4" s="26" t="s">
        <v>56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30" t="s">
        <v>76</v>
      </c>
      <c r="P4" s="30" t="s">
        <v>77</v>
      </c>
      <c r="Q4" s="31" t="s">
        <v>78</v>
      </c>
      <c r="R4" s="30" t="s">
        <v>79</v>
      </c>
    </row>
    <row r="5" spans="2:18" x14ac:dyDescent="0.35">
      <c r="B5" s="25"/>
      <c r="C5" s="13" t="s">
        <v>49</v>
      </c>
      <c r="D5" s="13" t="s">
        <v>50</v>
      </c>
      <c r="E5" s="13" t="s">
        <v>51</v>
      </c>
      <c r="F5" s="13" t="s">
        <v>52</v>
      </c>
      <c r="G5" s="13" t="s">
        <v>54</v>
      </c>
      <c r="H5" s="13" t="s">
        <v>53</v>
      </c>
      <c r="I5" s="13" t="s">
        <v>62</v>
      </c>
      <c r="J5" s="13" t="s">
        <v>63</v>
      </c>
      <c r="K5" s="13" t="s">
        <v>64</v>
      </c>
      <c r="L5" s="13" t="s">
        <v>65</v>
      </c>
      <c r="M5" s="13" t="s">
        <v>66</v>
      </c>
      <c r="N5" s="13" t="s">
        <v>67</v>
      </c>
      <c r="O5" s="30"/>
      <c r="P5" s="30"/>
      <c r="Q5" s="31"/>
      <c r="R5" s="30"/>
    </row>
    <row r="6" spans="2:18" x14ac:dyDescent="0.35">
      <c r="B6" s="12" t="s">
        <v>0</v>
      </c>
      <c r="C6" s="12"/>
      <c r="D6" s="12">
        <v>48</v>
      </c>
      <c r="E6" s="12"/>
      <c r="F6" s="12"/>
      <c r="G6" s="14" t="s">
        <v>59</v>
      </c>
      <c r="H6" s="12"/>
      <c r="I6" s="12">
        <v>44</v>
      </c>
      <c r="J6" s="12"/>
      <c r="K6" s="12"/>
      <c r="L6" s="12"/>
      <c r="M6" s="12"/>
      <c r="N6" s="12"/>
      <c r="O6" s="12">
        <v>15</v>
      </c>
      <c r="P6" s="12">
        <v>0</v>
      </c>
      <c r="Q6" s="12">
        <f>O6+P6</f>
        <v>15</v>
      </c>
      <c r="R6" s="12">
        <f>4*48+4*40+60*3+44*4+Q6*$R$3</f>
        <v>820.5</v>
      </c>
    </row>
    <row r="7" spans="2:18" x14ac:dyDescent="0.35">
      <c r="B7" s="12" t="s">
        <v>1</v>
      </c>
      <c r="C7" s="14" t="s">
        <v>57</v>
      </c>
      <c r="D7" s="12"/>
      <c r="E7" s="12">
        <v>64</v>
      </c>
      <c r="F7" s="12"/>
      <c r="G7" s="12"/>
      <c r="H7" s="12"/>
      <c r="I7" s="14" t="s">
        <v>68</v>
      </c>
      <c r="J7" s="12"/>
      <c r="K7" s="12"/>
      <c r="L7" s="12"/>
      <c r="M7" s="12">
        <v>44</v>
      </c>
      <c r="N7" s="12"/>
      <c r="O7" s="12">
        <v>16</v>
      </c>
      <c r="P7" s="12">
        <v>4</v>
      </c>
      <c r="Q7" s="12">
        <f t="shared" ref="Q7:Q15" si="0">O7+P7</f>
        <v>20</v>
      </c>
      <c r="R7" s="12">
        <f>32*4 + 64 +28*12+64+64 + 44+Q7*R3</f>
        <v>850</v>
      </c>
    </row>
    <row r="8" spans="2:18" x14ac:dyDescent="0.35">
      <c r="B8" s="12" t="s">
        <v>2</v>
      </c>
      <c r="C8" s="12">
        <v>56</v>
      </c>
      <c r="D8" s="12">
        <v>64</v>
      </c>
      <c r="E8" s="12">
        <v>60</v>
      </c>
      <c r="F8" s="12">
        <v>68</v>
      </c>
      <c r="G8" s="14" t="s">
        <v>61</v>
      </c>
      <c r="H8" s="12">
        <v>68</v>
      </c>
      <c r="I8" s="14" t="s">
        <v>69</v>
      </c>
      <c r="J8" s="12">
        <v>60</v>
      </c>
      <c r="K8" s="12">
        <v>64</v>
      </c>
      <c r="L8" s="12"/>
      <c r="M8" s="14" t="s">
        <v>73</v>
      </c>
      <c r="N8" s="12"/>
      <c r="O8" s="12">
        <v>10</v>
      </c>
      <c r="P8" s="12">
        <v>12</v>
      </c>
      <c r="Q8" s="12">
        <f t="shared" si="0"/>
        <v>22</v>
      </c>
      <c r="R8" s="12">
        <f>56+64+60+68+36*10+56+68+52+60+60+64+48+68+Q8*R3</f>
        <v>1249</v>
      </c>
    </row>
    <row r="9" spans="2:18" x14ac:dyDescent="0.35">
      <c r="B9" s="12" t="s">
        <v>3</v>
      </c>
      <c r="C9" s="12">
        <v>36</v>
      </c>
      <c r="D9" s="12"/>
      <c r="E9" s="12">
        <v>68</v>
      </c>
      <c r="F9" s="12"/>
      <c r="G9" s="12"/>
      <c r="H9" s="12"/>
      <c r="I9" s="12"/>
      <c r="J9" s="12">
        <v>48</v>
      </c>
      <c r="K9" s="12"/>
      <c r="L9" s="12">
        <v>68</v>
      </c>
      <c r="M9" s="14" t="s">
        <v>74</v>
      </c>
      <c r="N9" s="12"/>
      <c r="O9" s="12">
        <v>24</v>
      </c>
      <c r="P9" s="12">
        <v>0</v>
      </c>
      <c r="Q9" s="12">
        <f t="shared" si="0"/>
        <v>24</v>
      </c>
      <c r="R9" s="12">
        <f>36*4+68*4+48*4+68*4+40*4+64*4+Q9*R3</f>
        <v>1476</v>
      </c>
    </row>
    <row r="10" spans="2:18" x14ac:dyDescent="0.35">
      <c r="B10" s="12" t="s">
        <v>4</v>
      </c>
      <c r="C10" s="12">
        <v>48</v>
      </c>
      <c r="D10" s="12"/>
      <c r="E10" s="12"/>
      <c r="F10" s="12"/>
      <c r="G10" s="12"/>
      <c r="H10" s="12"/>
      <c r="I10" s="12">
        <v>68</v>
      </c>
      <c r="J10" s="12">
        <v>68</v>
      </c>
      <c r="K10" s="12">
        <v>60</v>
      </c>
      <c r="L10" s="12"/>
      <c r="M10" s="12">
        <v>60</v>
      </c>
      <c r="N10" s="12"/>
      <c r="O10" s="12">
        <v>10</v>
      </c>
      <c r="P10" s="12">
        <v>4</v>
      </c>
      <c r="Q10" s="12">
        <f t="shared" si="0"/>
        <v>14</v>
      </c>
      <c r="R10" s="12">
        <f>48*10+68+68+60+60+Q10*R3</f>
        <v>841</v>
      </c>
    </row>
    <row r="11" spans="2:18" x14ac:dyDescent="0.35">
      <c r="B11" s="12" t="s">
        <v>5</v>
      </c>
      <c r="C11" s="12">
        <v>24</v>
      </c>
      <c r="D11" s="12">
        <v>68</v>
      </c>
      <c r="E11" s="12">
        <v>56</v>
      </c>
      <c r="F11" s="12"/>
      <c r="G11" s="12">
        <v>48</v>
      </c>
      <c r="H11" s="12"/>
      <c r="I11" s="12"/>
      <c r="J11" s="12">
        <v>44</v>
      </c>
      <c r="K11" s="12">
        <v>56</v>
      </c>
      <c r="L11" s="12"/>
      <c r="M11" s="12">
        <v>32</v>
      </c>
      <c r="N11" s="12">
        <v>68</v>
      </c>
      <c r="O11" s="12">
        <v>13</v>
      </c>
      <c r="P11" s="12">
        <v>5</v>
      </c>
      <c r="Q11" s="12">
        <f t="shared" si="0"/>
        <v>18</v>
      </c>
      <c r="R11" s="12">
        <f>24*6+68+56+48+44+56+32*6+68+Q11*R3</f>
        <v>811</v>
      </c>
    </row>
    <row r="12" spans="2:18" x14ac:dyDescent="0.35">
      <c r="B12" s="12" t="s">
        <v>6</v>
      </c>
      <c r="C12" s="14" t="s">
        <v>58</v>
      </c>
      <c r="D12" s="12">
        <v>60</v>
      </c>
      <c r="E12" s="12"/>
      <c r="F12" s="12"/>
      <c r="G12" s="14" t="s">
        <v>60</v>
      </c>
      <c r="H12" s="12"/>
      <c r="I12" s="14" t="s">
        <v>70</v>
      </c>
      <c r="J12" s="14" t="s">
        <v>72</v>
      </c>
      <c r="K12" s="12">
        <v>68</v>
      </c>
      <c r="L12" s="12"/>
      <c r="M12" s="12">
        <v>56</v>
      </c>
      <c r="N12" s="12"/>
      <c r="O12" s="12">
        <v>42</v>
      </c>
      <c r="P12" s="12">
        <v>10</v>
      </c>
      <c r="Q12" s="12">
        <f t="shared" si="0"/>
        <v>52</v>
      </c>
      <c r="R12" s="12">
        <f>44*18+52+68+60+32*24+52+48+56+56+64+68+56+Q12*R3</f>
        <v>2530</v>
      </c>
    </row>
    <row r="13" spans="2:18" x14ac:dyDescent="0.35">
      <c r="B13" s="12" t="s">
        <v>7</v>
      </c>
      <c r="C13" s="14" t="s">
        <v>59</v>
      </c>
      <c r="D13" s="12">
        <v>56</v>
      </c>
      <c r="E13" s="12">
        <v>52</v>
      </c>
      <c r="F13" s="12"/>
      <c r="G13" s="12">
        <v>44</v>
      </c>
      <c r="H13" s="12">
        <v>64</v>
      </c>
      <c r="I13" s="14" t="s">
        <v>71</v>
      </c>
      <c r="J13" s="12">
        <v>52</v>
      </c>
      <c r="K13" s="12">
        <v>52</v>
      </c>
      <c r="L13" s="12">
        <v>72</v>
      </c>
      <c r="M13" s="12">
        <v>52</v>
      </c>
      <c r="N13" s="12">
        <v>64</v>
      </c>
      <c r="O13" s="12">
        <v>13</v>
      </c>
      <c r="P13" s="12">
        <v>12</v>
      </c>
      <c r="Q13" s="12">
        <f t="shared" si="0"/>
        <v>25</v>
      </c>
      <c r="R13" s="12">
        <f>40+60+56+52+44+64+24*13+36+52+52+72+52+64+Q13*R3</f>
        <v>1143.5</v>
      </c>
    </row>
    <row r="14" spans="2:18" x14ac:dyDescent="0.35">
      <c r="B14" s="12" t="s">
        <v>8</v>
      </c>
      <c r="C14" s="12">
        <v>28</v>
      </c>
      <c r="D14" s="12">
        <v>44</v>
      </c>
      <c r="E14" s="12"/>
      <c r="F14" s="12"/>
      <c r="G14" s="12">
        <v>64</v>
      </c>
      <c r="H14" s="12"/>
      <c r="I14" s="12">
        <v>40</v>
      </c>
      <c r="J14" s="12"/>
      <c r="K14" s="12"/>
      <c r="L14" s="12"/>
      <c r="M14" s="12"/>
      <c r="N14" s="12"/>
      <c r="O14" s="12">
        <v>5</v>
      </c>
      <c r="P14" s="12">
        <v>3</v>
      </c>
      <c r="Q14" s="12">
        <f t="shared" si="0"/>
        <v>8</v>
      </c>
      <c r="R14" s="12">
        <f>28*5+44+64+40+Q14*R3</f>
        <v>348</v>
      </c>
    </row>
    <row r="15" spans="2:18" x14ac:dyDescent="0.35">
      <c r="B15" s="12" t="s">
        <v>9</v>
      </c>
      <c r="C15" s="12"/>
      <c r="D15" s="12">
        <v>52</v>
      </c>
      <c r="E15" s="12"/>
      <c r="F15" s="12">
        <v>72</v>
      </c>
      <c r="G15" s="12"/>
      <c r="H15" s="12"/>
      <c r="I15" s="12">
        <v>32</v>
      </c>
      <c r="J15" s="12"/>
      <c r="K15" s="12"/>
      <c r="L15" s="12"/>
      <c r="M15" s="12">
        <v>36</v>
      </c>
      <c r="N15" s="12"/>
      <c r="O15" s="12">
        <v>16</v>
      </c>
      <c r="P15" s="12">
        <v>0</v>
      </c>
      <c r="Q15" s="12">
        <f t="shared" si="0"/>
        <v>16</v>
      </c>
      <c r="R15" s="12">
        <f>52*4+72*4+32*4+36*4+Q15*R3</f>
        <v>888</v>
      </c>
    </row>
    <row r="16" spans="2:18" x14ac:dyDescent="0.35">
      <c r="P16" s="25" t="s">
        <v>80</v>
      </c>
      <c r="Q16" s="25"/>
      <c r="R16" s="16">
        <f>SUM(R6:R15)</f>
        <v>10957</v>
      </c>
    </row>
    <row r="20" spans="2:12" x14ac:dyDescent="0.35">
      <c r="B20" s="29" t="s">
        <v>81</v>
      </c>
      <c r="C20" s="29"/>
      <c r="D20" s="29"/>
      <c r="E20" s="29"/>
      <c r="F20" s="29"/>
      <c r="G20" s="29"/>
      <c r="H20" s="29"/>
    </row>
    <row r="22" spans="2:12" s="17" customFormat="1" ht="29" x14ac:dyDescent="0.35">
      <c r="B22" s="15" t="s">
        <v>82</v>
      </c>
      <c r="C22" s="13" t="s">
        <v>83</v>
      </c>
      <c r="D22" s="13" t="s">
        <v>84</v>
      </c>
      <c r="E22" s="13" t="s">
        <v>85</v>
      </c>
      <c r="F22" s="13" t="s">
        <v>86</v>
      </c>
      <c r="H22" s="24" t="s">
        <v>87</v>
      </c>
      <c r="I22" s="24"/>
      <c r="J22" s="24"/>
      <c r="K22" s="18"/>
      <c r="L22" s="18"/>
    </row>
    <row r="23" spans="2:12" x14ac:dyDescent="0.35">
      <c r="B23" s="12">
        <v>1</v>
      </c>
      <c r="C23" s="12">
        <v>72</v>
      </c>
      <c r="D23" s="12">
        <v>76</v>
      </c>
      <c r="E23" s="12">
        <v>72</v>
      </c>
      <c r="F23" s="12">
        <v>68</v>
      </c>
      <c r="H23" s="13" t="s">
        <v>55</v>
      </c>
      <c r="I23" s="13" t="s">
        <v>88</v>
      </c>
      <c r="J23" s="13" t="s">
        <v>89</v>
      </c>
    </row>
    <row r="24" spans="2:12" x14ac:dyDescent="0.35">
      <c r="B24" s="12">
        <v>2</v>
      </c>
      <c r="C24" s="12">
        <v>76</v>
      </c>
      <c r="D24" s="12">
        <v>80</v>
      </c>
      <c r="E24" s="12">
        <v>76</v>
      </c>
      <c r="F24" s="12">
        <v>72</v>
      </c>
      <c r="H24" s="12" t="s">
        <v>0</v>
      </c>
      <c r="I24" s="12"/>
      <c r="J24" s="12"/>
    </row>
    <row r="25" spans="2:12" x14ac:dyDescent="0.35">
      <c r="B25" s="12">
        <v>3</v>
      </c>
      <c r="C25" s="12">
        <v>80</v>
      </c>
      <c r="D25" s="12">
        <v>84</v>
      </c>
      <c r="E25" s="12">
        <v>80</v>
      </c>
      <c r="F25" s="12">
        <v>72</v>
      </c>
      <c r="H25" s="12" t="s">
        <v>1</v>
      </c>
      <c r="I25" s="12"/>
      <c r="J25" s="12"/>
    </row>
    <row r="26" spans="2:12" x14ac:dyDescent="0.35">
      <c r="B26" s="12">
        <v>4</v>
      </c>
      <c r="C26" s="12">
        <v>84</v>
      </c>
      <c r="D26" s="12">
        <v>88</v>
      </c>
      <c r="E26" s="12">
        <v>84</v>
      </c>
      <c r="F26" s="12">
        <v>76</v>
      </c>
      <c r="H26" s="12" t="s">
        <v>2</v>
      </c>
      <c r="I26" s="12"/>
      <c r="J26" s="12"/>
    </row>
    <row r="27" spans="2:12" x14ac:dyDescent="0.35">
      <c r="B27" s="12">
        <v>5</v>
      </c>
      <c r="C27" s="12">
        <v>84</v>
      </c>
      <c r="D27" s="12">
        <v>92</v>
      </c>
      <c r="E27" s="12">
        <v>88</v>
      </c>
      <c r="F27" s="12">
        <v>76</v>
      </c>
      <c r="H27" s="12" t="s">
        <v>3</v>
      </c>
      <c r="I27" s="12">
        <v>12</v>
      </c>
      <c r="J27" s="12">
        <v>3</v>
      </c>
    </row>
    <row r="28" spans="2:12" x14ac:dyDescent="0.35">
      <c r="B28" s="12">
        <v>6</v>
      </c>
      <c r="C28" s="12">
        <v>84</v>
      </c>
      <c r="D28" s="12">
        <v>96</v>
      </c>
      <c r="E28" s="12">
        <v>92</v>
      </c>
      <c r="F28" s="12">
        <v>80</v>
      </c>
      <c r="H28" s="12" t="s">
        <v>4</v>
      </c>
      <c r="I28" s="12"/>
      <c r="J28" s="12"/>
    </row>
    <row r="29" spans="2:12" x14ac:dyDescent="0.35">
      <c r="B29" s="12">
        <v>7</v>
      </c>
      <c r="C29" s="12">
        <v>84</v>
      </c>
      <c r="D29" s="12">
        <v>96</v>
      </c>
      <c r="E29" s="12">
        <v>92</v>
      </c>
      <c r="F29" s="12">
        <v>80</v>
      </c>
      <c r="H29" s="12" t="s">
        <v>5</v>
      </c>
      <c r="I29" s="12"/>
      <c r="J29" s="12"/>
    </row>
    <row r="30" spans="2:12" x14ac:dyDescent="0.35">
      <c r="B30" s="12">
        <v>8</v>
      </c>
      <c r="C30" s="12">
        <v>84</v>
      </c>
      <c r="D30" s="12">
        <v>96</v>
      </c>
      <c r="E30" s="12">
        <v>92</v>
      </c>
      <c r="F30" s="12">
        <v>84</v>
      </c>
      <c r="H30" s="12" t="s">
        <v>6</v>
      </c>
      <c r="I30" s="12"/>
      <c r="J30" s="12"/>
    </row>
    <row r="31" spans="2:12" x14ac:dyDescent="0.35">
      <c r="B31" s="12">
        <v>9</v>
      </c>
      <c r="C31" s="12">
        <v>80</v>
      </c>
      <c r="D31" s="12">
        <v>96</v>
      </c>
      <c r="E31" s="12">
        <v>92</v>
      </c>
      <c r="F31" s="12">
        <v>84</v>
      </c>
      <c r="H31" s="12" t="s">
        <v>7</v>
      </c>
      <c r="I31" s="12"/>
      <c r="J31" s="12"/>
    </row>
    <row r="32" spans="2:12" x14ac:dyDescent="0.35">
      <c r="B32" s="12">
        <v>10</v>
      </c>
      <c r="C32" s="12">
        <v>76</v>
      </c>
      <c r="D32" s="12">
        <v>96</v>
      </c>
      <c r="E32" s="12">
        <v>88</v>
      </c>
      <c r="F32" s="12">
        <v>84</v>
      </c>
      <c r="H32" s="12" t="s">
        <v>8</v>
      </c>
      <c r="I32" s="12"/>
      <c r="J32" s="12"/>
    </row>
    <row r="33" spans="2:10" x14ac:dyDescent="0.35">
      <c r="B33" s="12">
        <v>11</v>
      </c>
      <c r="C33" s="12">
        <v>72</v>
      </c>
      <c r="D33" s="12">
        <v>92</v>
      </c>
      <c r="E33" s="12">
        <v>92</v>
      </c>
      <c r="F33" s="12">
        <v>84</v>
      </c>
      <c r="H33" s="12" t="s">
        <v>9</v>
      </c>
      <c r="I33" s="12">
        <v>20</v>
      </c>
      <c r="J33" s="12">
        <v>5</v>
      </c>
    </row>
    <row r="34" spans="2:10" x14ac:dyDescent="0.35">
      <c r="B34" s="12">
        <v>12</v>
      </c>
      <c r="C34" s="12"/>
      <c r="D34" s="12">
        <v>88</v>
      </c>
      <c r="E34" s="12">
        <v>92</v>
      </c>
      <c r="F34" s="12">
        <v>84</v>
      </c>
    </row>
    <row r="35" spans="2:10" x14ac:dyDescent="0.35">
      <c r="B35" s="12">
        <v>13</v>
      </c>
      <c r="C35" s="12"/>
      <c r="D35" s="12">
        <v>84</v>
      </c>
      <c r="E35" s="12">
        <v>96</v>
      </c>
      <c r="F35" s="12"/>
      <c r="H35" s="32" t="s">
        <v>113</v>
      </c>
      <c r="I35" s="32"/>
      <c r="J35" s="12">
        <v>200</v>
      </c>
    </row>
    <row r="36" spans="2:10" x14ac:dyDescent="0.35">
      <c r="B36" s="12">
        <v>14</v>
      </c>
      <c r="C36" s="12"/>
      <c r="D36" s="12">
        <v>80</v>
      </c>
      <c r="E36" s="12">
        <v>96</v>
      </c>
      <c r="F36" s="12"/>
      <c r="H36" s="32" t="s">
        <v>114</v>
      </c>
      <c r="I36" s="32"/>
      <c r="J36" s="12">
        <v>75</v>
      </c>
    </row>
    <row r="37" spans="2:10" x14ac:dyDescent="0.35">
      <c r="B37" s="12">
        <v>15</v>
      </c>
      <c r="C37" s="12"/>
      <c r="D37" s="12">
        <v>76</v>
      </c>
      <c r="E37" s="12">
        <v>100</v>
      </c>
      <c r="F37" s="12"/>
      <c r="H37" s="32" t="s">
        <v>115</v>
      </c>
      <c r="I37" s="32"/>
      <c r="J37" s="12">
        <f>J35-J36</f>
        <v>125</v>
      </c>
    </row>
    <row r="38" spans="2:10" x14ac:dyDescent="0.35">
      <c r="B38" s="12">
        <v>16</v>
      </c>
      <c r="C38" s="12"/>
      <c r="D38" s="12"/>
      <c r="E38" s="12">
        <v>100</v>
      </c>
      <c r="F38" s="12"/>
      <c r="H38" s="32" t="s">
        <v>90</v>
      </c>
      <c r="I38" s="32"/>
      <c r="J38" s="12">
        <v>8</v>
      </c>
    </row>
    <row r="39" spans="2:10" x14ac:dyDescent="0.35">
      <c r="B39" s="12">
        <v>17</v>
      </c>
      <c r="C39" s="12"/>
      <c r="D39" s="12"/>
      <c r="E39" s="12">
        <v>104</v>
      </c>
      <c r="F39" s="12"/>
      <c r="H39" s="32" t="s">
        <v>91</v>
      </c>
      <c r="I39" s="32"/>
      <c r="J39" s="12">
        <f>J37-J38</f>
        <v>117</v>
      </c>
    </row>
    <row r="40" spans="2:10" x14ac:dyDescent="0.35">
      <c r="B40" s="12">
        <v>18</v>
      </c>
      <c r="C40" s="12"/>
      <c r="D40" s="12"/>
      <c r="E40" s="12">
        <v>104</v>
      </c>
      <c r="F40" s="12"/>
      <c r="H40" s="31" t="s">
        <v>92</v>
      </c>
      <c r="I40" s="31"/>
      <c r="J40" s="25">
        <f>J39+I27+I33</f>
        <v>149</v>
      </c>
    </row>
    <row r="41" spans="2:10" x14ac:dyDescent="0.35">
      <c r="B41" s="12">
        <v>19</v>
      </c>
      <c r="C41" s="12"/>
      <c r="D41" s="12"/>
      <c r="E41" s="12">
        <v>108</v>
      </c>
      <c r="F41" s="12"/>
      <c r="H41" s="31"/>
      <c r="I41" s="31"/>
      <c r="J41" s="25"/>
    </row>
    <row r="42" spans="2:10" x14ac:dyDescent="0.35">
      <c r="B42" s="12">
        <v>20</v>
      </c>
      <c r="C42" s="12"/>
      <c r="D42" s="12"/>
      <c r="E42" s="12">
        <v>108</v>
      </c>
      <c r="F42" s="12"/>
    </row>
    <row r="43" spans="2:10" x14ac:dyDescent="0.35">
      <c r="B43" s="12">
        <v>21</v>
      </c>
      <c r="C43" s="12"/>
      <c r="D43" s="12"/>
      <c r="E43" s="12">
        <v>112</v>
      </c>
      <c r="F43" s="12"/>
    </row>
    <row r="44" spans="2:10" x14ac:dyDescent="0.35">
      <c r="B44" s="12">
        <v>22</v>
      </c>
      <c r="C44" s="12"/>
      <c r="D44" s="12"/>
      <c r="E44" s="12">
        <v>112</v>
      </c>
      <c r="F44" s="12"/>
    </row>
    <row r="45" spans="2:10" x14ac:dyDescent="0.35">
      <c r="B45" s="12">
        <v>23</v>
      </c>
      <c r="C45" s="12"/>
      <c r="D45" s="12"/>
      <c r="E45" s="12">
        <v>112</v>
      </c>
      <c r="F45" s="12"/>
    </row>
    <row r="46" spans="2:10" x14ac:dyDescent="0.35">
      <c r="B46" s="12">
        <v>24</v>
      </c>
      <c r="C46" s="12"/>
      <c r="D46" s="12"/>
      <c r="E46" s="12">
        <v>112</v>
      </c>
      <c r="F46" s="12"/>
    </row>
    <row r="47" spans="2:10" x14ac:dyDescent="0.35">
      <c r="B47" s="12">
        <v>25</v>
      </c>
      <c r="C47" s="12"/>
      <c r="D47" s="12"/>
      <c r="E47" s="12">
        <v>112</v>
      </c>
      <c r="F47" s="12"/>
    </row>
    <row r="50" spans="2:9" x14ac:dyDescent="0.35">
      <c r="B50" s="25" t="s">
        <v>93</v>
      </c>
      <c r="C50" s="25"/>
      <c r="D50" s="25"/>
      <c r="E50" s="16">
        <f>(SUM(C23:F47)*2+149*7.5)/125</f>
        <v>97.835999999999999</v>
      </c>
    </row>
    <row r="51" spans="2:9" x14ac:dyDescent="0.35">
      <c r="B51" s="25" t="s">
        <v>106</v>
      </c>
      <c r="C51" s="25"/>
      <c r="D51" s="25"/>
      <c r="E51" s="16">
        <f>E50*149</f>
        <v>14577.564</v>
      </c>
    </row>
    <row r="55" spans="2:9" ht="15.5" x14ac:dyDescent="0.35">
      <c r="B55" s="33" t="s">
        <v>94</v>
      </c>
      <c r="C55" s="33"/>
      <c r="D55" s="33"/>
      <c r="E55" s="33"/>
      <c r="F55" s="23"/>
      <c r="G55" s="23"/>
      <c r="H55" s="23"/>
      <c r="I55" s="23"/>
    </row>
    <row r="56" spans="2:9" ht="15.5" x14ac:dyDescent="0.35">
      <c r="B56" s="20"/>
      <c r="C56" s="20"/>
      <c r="D56" s="20"/>
      <c r="E56" s="20"/>
      <c r="F56" s="20"/>
      <c r="G56" s="20"/>
      <c r="H56" s="20"/>
      <c r="I56" s="20"/>
    </row>
    <row r="57" spans="2:9" ht="15.5" x14ac:dyDescent="0.35">
      <c r="B57" s="20"/>
      <c r="C57" s="20"/>
      <c r="D57" s="20"/>
      <c r="E57" s="20"/>
      <c r="F57" s="20"/>
      <c r="G57" s="20"/>
      <c r="H57" s="20"/>
      <c r="I57" s="20"/>
    </row>
    <row r="58" spans="2:9" x14ac:dyDescent="0.35">
      <c r="B58" s="35" t="s">
        <v>103</v>
      </c>
      <c r="C58" s="36"/>
      <c r="D58" s="13" t="s">
        <v>104</v>
      </c>
      <c r="E58" s="13" t="s">
        <v>105</v>
      </c>
    </row>
    <row r="59" spans="2:9" x14ac:dyDescent="0.35">
      <c r="B59" s="32" t="s">
        <v>112</v>
      </c>
      <c r="C59" s="32"/>
      <c r="D59" s="19">
        <f>E51+R16</f>
        <v>25534.563999999998</v>
      </c>
      <c r="E59" s="12" t="s">
        <v>97</v>
      </c>
    </row>
    <row r="60" spans="2:9" x14ac:dyDescent="0.35">
      <c r="B60" s="32" t="s">
        <v>110</v>
      </c>
      <c r="C60" s="32"/>
      <c r="D60" s="12">
        <v>350</v>
      </c>
      <c r="E60" s="12" t="s">
        <v>109</v>
      </c>
    </row>
    <row r="61" spans="2:9" x14ac:dyDescent="0.35">
      <c r="B61" s="32" t="s">
        <v>99</v>
      </c>
      <c r="C61" s="32"/>
      <c r="D61" s="12">
        <v>0.25</v>
      </c>
      <c r="E61" s="12" t="s">
        <v>95</v>
      </c>
    </row>
    <row r="62" spans="2:9" x14ac:dyDescent="0.35">
      <c r="B62" s="32" t="s">
        <v>100</v>
      </c>
      <c r="C62" s="32"/>
      <c r="D62" s="12">
        <v>0.25</v>
      </c>
      <c r="E62" s="12" t="s">
        <v>95</v>
      </c>
    </row>
    <row r="63" spans="2:9" x14ac:dyDescent="0.35">
      <c r="B63" s="32" t="s">
        <v>111</v>
      </c>
      <c r="C63" s="32"/>
      <c r="D63" s="12">
        <f>D60*(D61+D62)</f>
        <v>175</v>
      </c>
      <c r="E63" s="12" t="s">
        <v>95</v>
      </c>
    </row>
    <row r="64" spans="2:9" x14ac:dyDescent="0.35">
      <c r="B64" s="32" t="s">
        <v>96</v>
      </c>
      <c r="C64" s="32"/>
      <c r="D64" s="12">
        <v>150</v>
      </c>
      <c r="E64" s="12" t="s">
        <v>98</v>
      </c>
    </row>
    <row r="65" spans="2:5" x14ac:dyDescent="0.35">
      <c r="B65" s="34" t="s">
        <v>101</v>
      </c>
      <c r="C65" s="34"/>
      <c r="D65" s="22">
        <f>((D59/D64)+D63)/60</f>
        <v>5.7538404444444442</v>
      </c>
      <c r="E65" s="21" t="s">
        <v>102</v>
      </c>
    </row>
    <row r="66" spans="2:5" x14ac:dyDescent="0.35">
      <c r="B66" s="34" t="s">
        <v>107</v>
      </c>
      <c r="C66" s="34"/>
      <c r="D66" s="22">
        <f>D65</f>
        <v>5.7538404444444442</v>
      </c>
      <c r="E66" s="21" t="s">
        <v>108</v>
      </c>
    </row>
  </sheetData>
  <mergeCells count="29">
    <mergeCell ref="B63:C63"/>
    <mergeCell ref="B65:C65"/>
    <mergeCell ref="B66:C66"/>
    <mergeCell ref="B58:C58"/>
    <mergeCell ref="B64:C64"/>
    <mergeCell ref="B61:C61"/>
    <mergeCell ref="B62:C62"/>
    <mergeCell ref="B60:C60"/>
    <mergeCell ref="J40:J41"/>
    <mergeCell ref="B50:D50"/>
    <mergeCell ref="B51:D51"/>
    <mergeCell ref="B59:C59"/>
    <mergeCell ref="H40:I41"/>
    <mergeCell ref="B55:E55"/>
    <mergeCell ref="H35:I35"/>
    <mergeCell ref="H36:I36"/>
    <mergeCell ref="H37:I37"/>
    <mergeCell ref="H38:I38"/>
    <mergeCell ref="H39:I39"/>
    <mergeCell ref="P4:P5"/>
    <mergeCell ref="Q4:Q5"/>
    <mergeCell ref="R4:R5"/>
    <mergeCell ref="P16:Q16"/>
    <mergeCell ref="B20:H20"/>
    <mergeCell ref="H22:J22"/>
    <mergeCell ref="B4:B5"/>
    <mergeCell ref="C4:N4"/>
    <mergeCell ref="B2:H2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opLeftCell="B33" zoomScale="82" zoomScaleNormal="100" workbookViewId="0">
      <selection activeCell="C43" sqref="C43"/>
    </sheetView>
  </sheetViews>
  <sheetFormatPr defaultRowHeight="14.5" x14ac:dyDescent="0.35"/>
  <cols>
    <col min="1" max="1" width="14.54296875" bestFit="1" customWidth="1"/>
    <col min="2" max="2" width="38.08984375" bestFit="1" customWidth="1"/>
    <col min="3" max="4" width="28.1796875" bestFit="1" customWidth="1"/>
    <col min="5" max="5" width="26.90625" bestFit="1" customWidth="1"/>
    <col min="6" max="7" width="15.90625" bestFit="1" customWidth="1"/>
    <col min="8" max="8" width="15" bestFit="1" customWidth="1"/>
    <col min="9" max="9" width="8.54296875" bestFit="1" customWidth="1"/>
    <col min="12" max="13" width="15.90625" bestFit="1" customWidth="1"/>
  </cols>
  <sheetData>
    <row r="1" spans="1:13" ht="15" thickBot="1" x14ac:dyDescent="0.4">
      <c r="A1" s="9" t="s">
        <v>19</v>
      </c>
    </row>
    <row r="2" spans="1:13" x14ac:dyDescent="0.35">
      <c r="A2" s="1"/>
      <c r="B2" s="10" t="s">
        <v>14</v>
      </c>
      <c r="C2" s="2"/>
      <c r="D2" s="2"/>
      <c r="E2" s="2"/>
      <c r="F2" s="2"/>
      <c r="G2" s="3"/>
      <c r="H2" s="11" t="s">
        <v>15</v>
      </c>
      <c r="I2" s="2"/>
      <c r="J2" s="2"/>
      <c r="K2" s="2"/>
      <c r="L2" s="2"/>
      <c r="M2" s="3"/>
    </row>
    <row r="3" spans="1:13" ht="15" thickBot="1" x14ac:dyDescent="0.4">
      <c r="A3" s="4" t="s">
        <v>10</v>
      </c>
      <c r="B3" t="s">
        <v>13</v>
      </c>
      <c r="C3" t="s">
        <v>11</v>
      </c>
      <c r="D3" t="s">
        <v>12</v>
      </c>
      <c r="E3" t="s">
        <v>16</v>
      </c>
      <c r="F3" t="s">
        <v>17</v>
      </c>
      <c r="G3" s="5" t="s">
        <v>18</v>
      </c>
      <c r="H3" s="4" t="s">
        <v>13</v>
      </c>
      <c r="I3" t="s">
        <v>11</v>
      </c>
      <c r="J3" t="s">
        <v>12</v>
      </c>
      <c r="K3" t="s">
        <v>16</v>
      </c>
      <c r="L3" t="s">
        <v>17</v>
      </c>
      <c r="M3" s="5" t="s">
        <v>18</v>
      </c>
    </row>
    <row r="4" spans="1:13" x14ac:dyDescent="0.35">
      <c r="A4" s="4" t="s">
        <v>0</v>
      </c>
      <c r="C4">
        <v>48</v>
      </c>
      <c r="F4">
        <f>40+60</f>
        <v>100</v>
      </c>
      <c r="G4" s="5"/>
      <c r="H4" s="1">
        <v>44</v>
      </c>
      <c r="I4" s="2"/>
      <c r="J4" s="2"/>
      <c r="K4" s="2"/>
      <c r="L4" s="2"/>
      <c r="M4" s="3"/>
    </row>
    <row r="5" spans="1:13" x14ac:dyDescent="0.35">
      <c r="A5" s="4" t="s">
        <v>1</v>
      </c>
      <c r="B5">
        <f>32+64</f>
        <v>96</v>
      </c>
      <c r="D5">
        <v>64</v>
      </c>
      <c r="G5" s="5"/>
      <c r="H5" s="4">
        <f>28+64</f>
        <v>92</v>
      </c>
      <c r="L5">
        <v>44</v>
      </c>
      <c r="M5" s="5"/>
    </row>
    <row r="6" spans="1:13" x14ac:dyDescent="0.35">
      <c r="A6" s="4" t="s">
        <v>2</v>
      </c>
      <c r="B6">
        <v>56</v>
      </c>
      <c r="C6">
        <v>64</v>
      </c>
      <c r="D6">
        <v>60</v>
      </c>
      <c r="E6">
        <v>68</v>
      </c>
      <c r="F6">
        <f>36+56</f>
        <v>92</v>
      </c>
      <c r="G6" s="5">
        <v>68</v>
      </c>
      <c r="H6" s="4">
        <f>52+60</f>
        <v>112</v>
      </c>
      <c r="I6">
        <v>60</v>
      </c>
      <c r="J6">
        <v>64</v>
      </c>
      <c r="L6">
        <f>48+68</f>
        <v>116</v>
      </c>
      <c r="M6" s="5"/>
    </row>
    <row r="7" spans="1:13" x14ac:dyDescent="0.35">
      <c r="A7" s="4" t="s">
        <v>3</v>
      </c>
      <c r="B7">
        <v>36</v>
      </c>
      <c r="D7">
        <v>68</v>
      </c>
      <c r="G7" s="5"/>
      <c r="H7" s="4"/>
      <c r="I7">
        <v>48</v>
      </c>
      <c r="K7">
        <v>68</v>
      </c>
      <c r="L7">
        <f>40+64</f>
        <v>104</v>
      </c>
      <c r="M7" s="5"/>
    </row>
    <row r="8" spans="1:13" x14ac:dyDescent="0.35">
      <c r="A8" s="4" t="s">
        <v>4</v>
      </c>
      <c r="B8">
        <v>48</v>
      </c>
      <c r="G8" s="5"/>
      <c r="H8" s="4">
        <v>68</v>
      </c>
      <c r="I8">
        <v>68</v>
      </c>
      <c r="J8">
        <v>60</v>
      </c>
      <c r="L8">
        <v>60</v>
      </c>
      <c r="M8" s="5"/>
    </row>
    <row r="9" spans="1:13" x14ac:dyDescent="0.35">
      <c r="A9" s="4" t="s">
        <v>5</v>
      </c>
      <c r="B9">
        <v>24</v>
      </c>
      <c r="C9">
        <v>68</v>
      </c>
      <c r="D9">
        <v>56</v>
      </c>
      <c r="F9">
        <v>48</v>
      </c>
      <c r="G9" s="5"/>
      <c r="H9" s="4"/>
      <c r="I9">
        <v>44</v>
      </c>
      <c r="J9">
        <v>56</v>
      </c>
      <c r="L9">
        <v>32</v>
      </c>
      <c r="M9" s="5">
        <v>68</v>
      </c>
    </row>
    <row r="10" spans="1:13" x14ac:dyDescent="0.35">
      <c r="A10" s="4" t="s">
        <v>6</v>
      </c>
      <c r="B10">
        <f>44+52+68</f>
        <v>164</v>
      </c>
      <c r="C10">
        <v>60</v>
      </c>
      <c r="F10">
        <f>32+52</f>
        <v>84</v>
      </c>
      <c r="G10" s="5"/>
      <c r="H10" s="4">
        <f>48+56</f>
        <v>104</v>
      </c>
      <c r="I10">
        <f>56+64</f>
        <v>120</v>
      </c>
      <c r="J10">
        <v>68</v>
      </c>
      <c r="L10">
        <v>56</v>
      </c>
      <c r="M10" s="5"/>
    </row>
    <row r="11" spans="1:13" x14ac:dyDescent="0.35">
      <c r="A11" s="4" t="s">
        <v>7</v>
      </c>
      <c r="B11">
        <f>40+60</f>
        <v>100</v>
      </c>
      <c r="C11">
        <v>56</v>
      </c>
      <c r="D11">
        <v>52</v>
      </c>
      <c r="F11">
        <v>44</v>
      </c>
      <c r="G11" s="5">
        <v>64</v>
      </c>
      <c r="H11" s="4">
        <f>24+36</f>
        <v>60</v>
      </c>
      <c r="I11">
        <v>52</v>
      </c>
      <c r="J11">
        <v>52</v>
      </c>
      <c r="K11">
        <v>72</v>
      </c>
      <c r="L11">
        <v>52</v>
      </c>
      <c r="M11" s="5">
        <v>64</v>
      </c>
    </row>
    <row r="12" spans="1:13" x14ac:dyDescent="0.35">
      <c r="A12" s="4" t="s">
        <v>8</v>
      </c>
      <c r="B12">
        <v>28</v>
      </c>
      <c r="C12">
        <v>44</v>
      </c>
      <c r="F12">
        <v>64</v>
      </c>
      <c r="G12" s="5"/>
      <c r="H12" s="4">
        <v>40</v>
      </c>
      <c r="M12" s="5"/>
    </row>
    <row r="13" spans="1:13" ht="15" thickBot="1" x14ac:dyDescent="0.4">
      <c r="A13" s="6" t="s">
        <v>9</v>
      </c>
      <c r="B13" s="7"/>
      <c r="C13" s="7">
        <v>52</v>
      </c>
      <c r="D13" s="7"/>
      <c r="E13" s="7">
        <v>72</v>
      </c>
      <c r="F13" s="7"/>
      <c r="G13" s="8"/>
      <c r="H13" s="6">
        <v>32</v>
      </c>
      <c r="I13" s="7"/>
      <c r="J13" s="7"/>
      <c r="K13" s="7"/>
      <c r="L13" s="7">
        <v>36</v>
      </c>
      <c r="M13" s="8"/>
    </row>
    <row r="14" spans="1:13" x14ac:dyDescent="0.35">
      <c r="A14" s="4"/>
      <c r="G14" s="5"/>
    </row>
    <row r="15" spans="1:13" x14ac:dyDescent="0.35">
      <c r="A15" s="4"/>
      <c r="G15" s="5"/>
    </row>
    <row r="17" spans="1:9" x14ac:dyDescent="0.35">
      <c r="A17" s="4"/>
      <c r="E17" t="s">
        <v>25</v>
      </c>
    </row>
    <row r="18" spans="1:9" x14ac:dyDescent="0.35">
      <c r="A18" s="4"/>
      <c r="D18" t="s">
        <v>29</v>
      </c>
      <c r="E18" t="s">
        <v>26</v>
      </c>
      <c r="F18" t="s">
        <v>27</v>
      </c>
      <c r="G18" t="s">
        <v>28</v>
      </c>
      <c r="I18">
        <v>7.5</v>
      </c>
    </row>
    <row r="19" spans="1:9" x14ac:dyDescent="0.35">
      <c r="A19" s="4"/>
      <c r="B19" s="4" t="s">
        <v>0</v>
      </c>
      <c r="C19">
        <f>4*48+4*40+60*3+44*4</f>
        <v>708</v>
      </c>
      <c r="D19">
        <f>C19+H19</f>
        <v>820.5</v>
      </c>
      <c r="E19">
        <v>15</v>
      </c>
      <c r="G19">
        <v>15</v>
      </c>
      <c r="H19">
        <f>G19*$I$18</f>
        <v>112.5</v>
      </c>
    </row>
    <row r="20" spans="1:9" x14ac:dyDescent="0.35">
      <c r="A20" s="4"/>
      <c r="B20" s="4" t="s">
        <v>1</v>
      </c>
      <c r="C20">
        <f>32*4 + 64 +28*12+64+64 + 44</f>
        <v>700</v>
      </c>
      <c r="D20">
        <f t="shared" ref="D20:D28" si="0">C20+H20</f>
        <v>850</v>
      </c>
      <c r="E20">
        <v>16</v>
      </c>
      <c r="F20">
        <v>4</v>
      </c>
      <c r="G20">
        <f>16 + 4</f>
        <v>20</v>
      </c>
      <c r="H20">
        <f t="shared" ref="H20:H28" si="1">G20*$I$18</f>
        <v>150</v>
      </c>
    </row>
    <row r="21" spans="1:9" x14ac:dyDescent="0.35">
      <c r="A21" s="4"/>
      <c r="B21" s="4" t="s">
        <v>2</v>
      </c>
      <c r="C21">
        <f>56+64+60+68+36*10+56+68+52+60+60+64+48+68</f>
        <v>1084</v>
      </c>
      <c r="D21">
        <f t="shared" si="0"/>
        <v>1249</v>
      </c>
      <c r="E21">
        <v>10</v>
      </c>
      <c r="F21">
        <v>12</v>
      </c>
      <c r="G21">
        <f>10+12</f>
        <v>22</v>
      </c>
      <c r="H21">
        <f t="shared" si="1"/>
        <v>165</v>
      </c>
    </row>
    <row r="22" spans="1:9" x14ac:dyDescent="0.35">
      <c r="A22" s="4"/>
      <c r="B22" s="4" t="s">
        <v>3</v>
      </c>
      <c r="C22">
        <f>36*4+68*4+48*4+68*4+40*4+64*4</f>
        <v>1296</v>
      </c>
      <c r="D22">
        <f t="shared" si="0"/>
        <v>1476</v>
      </c>
      <c r="E22">
        <v>24</v>
      </c>
      <c r="F22">
        <v>0</v>
      </c>
      <c r="G22">
        <f>24</f>
        <v>24</v>
      </c>
      <c r="H22">
        <f t="shared" si="1"/>
        <v>180</v>
      </c>
    </row>
    <row r="23" spans="1:9" x14ac:dyDescent="0.35">
      <c r="A23" s="4"/>
      <c r="B23" s="4" t="s">
        <v>4</v>
      </c>
      <c r="C23">
        <f>48*10+68+68+60+60</f>
        <v>736</v>
      </c>
      <c r="D23">
        <f t="shared" si="0"/>
        <v>841</v>
      </c>
      <c r="E23">
        <v>10</v>
      </c>
      <c r="F23">
        <v>4</v>
      </c>
      <c r="G23">
        <f>10+4</f>
        <v>14</v>
      </c>
      <c r="H23">
        <f t="shared" si="1"/>
        <v>105</v>
      </c>
    </row>
    <row r="24" spans="1:9" x14ac:dyDescent="0.35">
      <c r="A24" s="4"/>
      <c r="B24" s="4" t="s">
        <v>5</v>
      </c>
      <c r="C24">
        <f>24*6+68+56+48+44+56+32*6+68</f>
        <v>676</v>
      </c>
      <c r="D24">
        <f t="shared" si="0"/>
        <v>811</v>
      </c>
      <c r="E24">
        <v>13</v>
      </c>
      <c r="F24">
        <v>5</v>
      </c>
      <c r="G24">
        <f>13+5</f>
        <v>18</v>
      </c>
      <c r="H24">
        <f t="shared" si="1"/>
        <v>135</v>
      </c>
    </row>
    <row r="25" spans="1:9" x14ac:dyDescent="0.35">
      <c r="B25" s="4" t="s">
        <v>6</v>
      </c>
      <c r="C25">
        <f>44*18+52+68+60+32*24+52+48+56+56+64+68+56</f>
        <v>2140</v>
      </c>
      <c r="D25">
        <f t="shared" si="0"/>
        <v>2530</v>
      </c>
      <c r="E25">
        <v>42</v>
      </c>
      <c r="F25">
        <v>10</v>
      </c>
      <c r="G25">
        <f>42+10</f>
        <v>52</v>
      </c>
      <c r="H25">
        <f t="shared" si="1"/>
        <v>390</v>
      </c>
    </row>
    <row r="26" spans="1:9" x14ac:dyDescent="0.35">
      <c r="B26" s="4" t="s">
        <v>7</v>
      </c>
      <c r="C26">
        <f>40+60+56+52+44+64+24*13+36+52+52+72+52+64</f>
        <v>956</v>
      </c>
      <c r="D26">
        <f t="shared" si="0"/>
        <v>1143.5</v>
      </c>
      <c r="E26">
        <v>13</v>
      </c>
      <c r="F26">
        <v>12</v>
      </c>
      <c r="G26">
        <f>13+12</f>
        <v>25</v>
      </c>
      <c r="H26">
        <f t="shared" si="1"/>
        <v>187.5</v>
      </c>
    </row>
    <row r="27" spans="1:9" x14ac:dyDescent="0.35">
      <c r="B27" s="4" t="s">
        <v>8</v>
      </c>
      <c r="C27">
        <f>28*5+44+64+40</f>
        <v>288</v>
      </c>
      <c r="D27">
        <f t="shared" si="0"/>
        <v>348</v>
      </c>
      <c r="E27">
        <v>5</v>
      </c>
      <c r="F27">
        <v>3</v>
      </c>
      <c r="G27">
        <f>5+3</f>
        <v>8</v>
      </c>
      <c r="H27">
        <f t="shared" si="1"/>
        <v>60</v>
      </c>
    </row>
    <row r="28" spans="1:9" ht="15" thickBot="1" x14ac:dyDescent="0.4">
      <c r="B28" s="6" t="s">
        <v>9</v>
      </c>
      <c r="C28">
        <f>52*4+72*4+32*4+36*4</f>
        <v>768</v>
      </c>
      <c r="D28">
        <f t="shared" si="0"/>
        <v>888</v>
      </c>
      <c r="E28">
        <v>16</v>
      </c>
      <c r="F28">
        <v>0</v>
      </c>
      <c r="G28">
        <f>16</f>
        <v>16</v>
      </c>
      <c r="H28">
        <f t="shared" si="1"/>
        <v>120</v>
      </c>
    </row>
    <row r="29" spans="1:9" x14ac:dyDescent="0.35">
      <c r="D29">
        <f>SUM(D19:D28)</f>
        <v>10957</v>
      </c>
    </row>
    <row r="33" spans="2:8" x14ac:dyDescent="0.35">
      <c r="C33" s="9" t="s">
        <v>20</v>
      </c>
    </row>
    <row r="34" spans="2:8" x14ac:dyDescent="0.35">
      <c r="E34" t="s">
        <v>21</v>
      </c>
      <c r="F34" t="s">
        <v>22</v>
      </c>
      <c r="G34" t="s">
        <v>24</v>
      </c>
      <c r="H34" t="s">
        <v>23</v>
      </c>
    </row>
    <row r="35" spans="2:8" x14ac:dyDescent="0.35">
      <c r="E35">
        <v>72</v>
      </c>
      <c r="F35">
        <v>76</v>
      </c>
      <c r="G35">
        <v>72</v>
      </c>
      <c r="H35">
        <v>68</v>
      </c>
    </row>
    <row r="36" spans="2:8" x14ac:dyDescent="0.35">
      <c r="E36">
        <v>76</v>
      </c>
      <c r="F36">
        <v>80</v>
      </c>
      <c r="G36">
        <v>76</v>
      </c>
      <c r="H36">
        <v>72</v>
      </c>
    </row>
    <row r="37" spans="2:8" x14ac:dyDescent="0.35">
      <c r="E37">
        <v>80</v>
      </c>
      <c r="F37">
        <v>84</v>
      </c>
      <c r="G37">
        <v>80</v>
      </c>
      <c r="H37">
        <v>72</v>
      </c>
    </row>
    <row r="38" spans="2:8" x14ac:dyDescent="0.35">
      <c r="E38">
        <v>84</v>
      </c>
      <c r="F38">
        <v>88</v>
      </c>
      <c r="G38">
        <v>84</v>
      </c>
      <c r="H38">
        <v>76</v>
      </c>
    </row>
    <row r="39" spans="2:8" x14ac:dyDescent="0.35">
      <c r="C39">
        <f>SUM(E35:H59)</f>
        <v>5556</v>
      </c>
      <c r="E39">
        <v>84</v>
      </c>
      <c r="F39">
        <v>92</v>
      </c>
      <c r="G39">
        <v>88</v>
      </c>
      <c r="H39">
        <v>76</v>
      </c>
    </row>
    <row r="40" spans="2:8" x14ac:dyDescent="0.35">
      <c r="C40">
        <v>1117.5</v>
      </c>
      <c r="E40">
        <v>84</v>
      </c>
      <c r="F40">
        <v>96</v>
      </c>
      <c r="G40">
        <v>92</v>
      </c>
      <c r="H40">
        <v>80</v>
      </c>
    </row>
    <row r="41" spans="2:8" x14ac:dyDescent="0.35">
      <c r="C41">
        <f>SUM(C39:C40)</f>
        <v>6673.5</v>
      </c>
      <c r="E41">
        <v>84</v>
      </c>
      <c r="F41">
        <v>96</v>
      </c>
      <c r="G41">
        <v>92</v>
      </c>
      <c r="H41">
        <v>80</v>
      </c>
    </row>
    <row r="42" spans="2:8" x14ac:dyDescent="0.35">
      <c r="B42" t="s">
        <v>35</v>
      </c>
      <c r="C42">
        <f>C41/125</f>
        <v>53.387999999999998</v>
      </c>
      <c r="E42">
        <v>84</v>
      </c>
      <c r="F42">
        <v>96</v>
      </c>
      <c r="G42">
        <v>92</v>
      </c>
      <c r="H42">
        <v>84</v>
      </c>
    </row>
    <row r="43" spans="2:8" x14ac:dyDescent="0.35">
      <c r="B43" t="s">
        <v>36</v>
      </c>
      <c r="C43">
        <f>C42*149</f>
        <v>7954.8119999999999</v>
      </c>
      <c r="E43">
        <v>80</v>
      </c>
      <c r="F43">
        <v>96</v>
      </c>
      <c r="G43">
        <v>92</v>
      </c>
      <c r="H43">
        <v>84</v>
      </c>
    </row>
    <row r="44" spans="2:8" x14ac:dyDescent="0.35">
      <c r="E44">
        <v>76</v>
      </c>
      <c r="F44">
        <v>96</v>
      </c>
      <c r="G44">
        <v>88</v>
      </c>
      <c r="H44">
        <v>84</v>
      </c>
    </row>
    <row r="45" spans="2:8" x14ac:dyDescent="0.35">
      <c r="E45">
        <v>72</v>
      </c>
      <c r="F45">
        <v>92</v>
      </c>
      <c r="G45">
        <v>92</v>
      </c>
      <c r="H45">
        <v>84</v>
      </c>
    </row>
    <row r="46" spans="2:8" x14ac:dyDescent="0.35">
      <c r="F46">
        <v>88</v>
      </c>
      <c r="G46">
        <v>92</v>
      </c>
      <c r="H46">
        <v>84</v>
      </c>
    </row>
    <row r="47" spans="2:8" x14ac:dyDescent="0.35">
      <c r="F47">
        <v>84</v>
      </c>
      <c r="G47">
        <v>96</v>
      </c>
    </row>
    <row r="48" spans="2:8" x14ac:dyDescent="0.35">
      <c r="B48" t="s">
        <v>39</v>
      </c>
      <c r="C48">
        <f>D29+C43</f>
        <v>18911.811999999998</v>
      </c>
      <c r="D48" t="s">
        <v>37</v>
      </c>
      <c r="F48">
        <v>80</v>
      </c>
      <c r="G48">
        <v>96</v>
      </c>
    </row>
    <row r="49" spans="2:7" x14ac:dyDescent="0.35">
      <c r="B49" t="s">
        <v>40</v>
      </c>
      <c r="C49">
        <f>C48*8</f>
        <v>151294.49599999998</v>
      </c>
      <c r="F49">
        <v>76</v>
      </c>
      <c r="G49">
        <v>100</v>
      </c>
    </row>
    <row r="50" spans="2:7" x14ac:dyDescent="0.35">
      <c r="B50" t="s">
        <v>38</v>
      </c>
      <c r="C50">
        <v>150</v>
      </c>
      <c r="D50" t="s">
        <v>48</v>
      </c>
      <c r="G50">
        <v>100</v>
      </c>
    </row>
    <row r="51" spans="2:7" x14ac:dyDescent="0.35">
      <c r="G51">
        <v>104</v>
      </c>
    </row>
    <row r="52" spans="2:7" ht="15" thickBot="1" x14ac:dyDescent="0.4">
      <c r="G52">
        <v>104</v>
      </c>
    </row>
    <row r="53" spans="2:7" x14ac:dyDescent="0.35">
      <c r="B53" s="1" t="s">
        <v>41</v>
      </c>
      <c r="C53" s="3" t="s">
        <v>42</v>
      </c>
      <c r="G53">
        <v>108</v>
      </c>
    </row>
    <row r="54" spans="2:7" ht="15" thickBot="1" x14ac:dyDescent="0.4">
      <c r="B54" s="6" t="s">
        <v>43</v>
      </c>
      <c r="C54" s="8" t="s">
        <v>42</v>
      </c>
      <c r="G54">
        <v>108</v>
      </c>
    </row>
    <row r="55" spans="2:7" x14ac:dyDescent="0.35">
      <c r="G55">
        <v>112</v>
      </c>
    </row>
    <row r="56" spans="2:7" x14ac:dyDescent="0.35">
      <c r="B56" t="s">
        <v>44</v>
      </c>
      <c r="C56">
        <f>350*0.5</f>
        <v>175</v>
      </c>
      <c r="D56" t="s">
        <v>45</v>
      </c>
      <c r="G56">
        <v>112</v>
      </c>
    </row>
    <row r="57" spans="2:7" x14ac:dyDescent="0.35">
      <c r="G57">
        <v>112</v>
      </c>
    </row>
    <row r="58" spans="2:7" ht="15" thickBot="1" x14ac:dyDescent="0.4">
      <c r="B58" t="s">
        <v>46</v>
      </c>
      <c r="C58">
        <f>8*60 - 175</f>
        <v>305</v>
      </c>
      <c r="D58" t="s">
        <v>45</v>
      </c>
      <c r="G58">
        <v>112</v>
      </c>
    </row>
    <row r="59" spans="2:7" x14ac:dyDescent="0.35">
      <c r="B59" s="1" t="s">
        <v>47</v>
      </c>
      <c r="C59" s="3">
        <f>C49/(C50*C58)</f>
        <v>3.3069835191256827</v>
      </c>
      <c r="G59">
        <v>112</v>
      </c>
    </row>
    <row r="60" spans="2:7" ht="15" thickBot="1" x14ac:dyDescent="0.4">
      <c r="B60" s="6"/>
      <c r="C60" s="8">
        <v>4</v>
      </c>
    </row>
    <row r="64" spans="2:7" x14ac:dyDescent="0.35">
      <c r="D64" t="s">
        <v>30</v>
      </c>
      <c r="E64" t="s">
        <v>33</v>
      </c>
      <c r="F64" t="s">
        <v>27</v>
      </c>
      <c r="G64" t="s">
        <v>34</v>
      </c>
    </row>
    <row r="65" spans="3:7" x14ac:dyDescent="0.35">
      <c r="C65" t="s">
        <v>0</v>
      </c>
      <c r="D65" t="s">
        <v>31</v>
      </c>
      <c r="F65">
        <v>26</v>
      </c>
    </row>
    <row r="66" spans="3:7" x14ac:dyDescent="0.35">
      <c r="C66" t="s">
        <v>1</v>
      </c>
      <c r="F66">
        <v>19</v>
      </c>
    </row>
    <row r="67" spans="3:7" x14ac:dyDescent="0.35">
      <c r="C67" t="s">
        <v>2</v>
      </c>
      <c r="F67">
        <v>12</v>
      </c>
    </row>
    <row r="68" spans="3:7" x14ac:dyDescent="0.35">
      <c r="C68" t="s">
        <v>3</v>
      </c>
      <c r="D68" t="s">
        <v>32</v>
      </c>
      <c r="E68">
        <v>12</v>
      </c>
      <c r="F68">
        <v>15</v>
      </c>
      <c r="G68">
        <v>3</v>
      </c>
    </row>
    <row r="69" spans="3:7" x14ac:dyDescent="0.35">
      <c r="C69" t="s">
        <v>4</v>
      </c>
      <c r="F69">
        <v>0</v>
      </c>
    </row>
    <row r="70" spans="3:7" x14ac:dyDescent="0.35">
      <c r="C70" t="s">
        <v>5</v>
      </c>
      <c r="F70">
        <v>18</v>
      </c>
    </row>
    <row r="71" spans="3:7" x14ac:dyDescent="0.35">
      <c r="C71" t="s">
        <v>6</v>
      </c>
      <c r="F71">
        <v>0</v>
      </c>
    </row>
    <row r="72" spans="3:7" x14ac:dyDescent="0.35">
      <c r="C72" t="s">
        <v>7</v>
      </c>
      <c r="F72">
        <v>14</v>
      </c>
    </row>
    <row r="73" spans="3:7" x14ac:dyDescent="0.35">
      <c r="C73" t="s">
        <v>8</v>
      </c>
      <c r="F73">
        <v>13</v>
      </c>
    </row>
    <row r="74" spans="3:7" x14ac:dyDescent="0.35">
      <c r="C74" t="s">
        <v>9</v>
      </c>
      <c r="E74">
        <v>20</v>
      </c>
      <c r="F74">
        <v>16</v>
      </c>
      <c r="G74">
        <v>5</v>
      </c>
    </row>
    <row r="75" spans="3:7" x14ac:dyDescent="0.35">
      <c r="F75">
        <f>SUM(F65:F74)</f>
        <v>133</v>
      </c>
    </row>
    <row r="77" spans="3:7" x14ac:dyDescent="0.35">
      <c r="C77">
        <v>117</v>
      </c>
    </row>
    <row r="78" spans="3:7" x14ac:dyDescent="0.35">
      <c r="C78">
        <v>12</v>
      </c>
      <c r="D78">
        <f>7.5*C80</f>
        <v>1117.5</v>
      </c>
    </row>
    <row r="79" spans="3:7" x14ac:dyDescent="0.35">
      <c r="C79">
        <v>20</v>
      </c>
    </row>
    <row r="80" spans="3:7" x14ac:dyDescent="0.35">
      <c r="C80">
        <f>SUM(C77:C79)</f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Nishank Sathe</dc:creator>
  <cp:lastModifiedBy>Pranav Joshi</cp:lastModifiedBy>
  <dcterms:created xsi:type="dcterms:W3CDTF">2015-06-05T18:17:20Z</dcterms:created>
  <dcterms:modified xsi:type="dcterms:W3CDTF">2023-04-29T20:08:43Z</dcterms:modified>
</cp:coreProperties>
</file>