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<sst xmlns="http://schemas.openxmlformats.org/spreadsheetml/2006/main" xmlns:r="http://schemas.openxmlformats.org/officeDocument/2006/relationships" xmlns:xdr="http://schemas.openxmlformats.org/drawingml/2006/spreadsheetDrawing" count="977" uniqueCount="34">
  <si>
    <t>Stage</t>
  </si>
  <si>
    <t>T_Code</t>
  </si>
  <si>
    <t>DepVar</t>
  </si>
  <si>
    <t>ATT</t>
  </si>
  <si>
    <t>SE</t>
  </si>
  <si>
    <t>Completed Pathways For Admitted Patients</t>
  </si>
  <si>
    <t>C_100</t>
  </si>
  <si>
    <t>Under_24_Weeks_Prop_Manual</t>
  </si>
  <si>
    <t>Over_52_Weeks_Prop_Manual</t>
  </si>
  <si>
    <t>Over_65_Weeks_Prop_Manual</t>
  </si>
  <si>
    <t>Total_Manual</t>
  </si>
  <si>
    <t>C_101</t>
  </si>
  <si>
    <t>C_110</t>
  </si>
  <si>
    <t>C_120</t>
  </si>
  <si>
    <t>C_130</t>
  </si>
  <si>
    <t>C_140</t>
  </si>
  <si>
    <t>C_160</t>
  </si>
  <si>
    <t>C_301</t>
  </si>
  <si>
    <t>C_320</t>
  </si>
  <si>
    <t>C_330</t>
  </si>
  <si>
    <t>C_340</t>
  </si>
  <si>
    <t>C_400</t>
  </si>
  <si>
    <t>C_410</t>
  </si>
  <si>
    <t>C_502</t>
  </si>
  <si>
    <t>C_999</t>
  </si>
  <si>
    <t>X02</t>
  </si>
  <si>
    <t>X04</t>
  </si>
  <si>
    <t>X05</t>
  </si>
  <si>
    <t>X06</t>
  </si>
  <si>
    <t>Completed Pathways For Non-Admitted Patients</t>
  </si>
  <si>
    <t>C_300</t>
  </si>
  <si>
    <t>C_430</t>
  </si>
  <si>
    <t>Incomplete Pathways</t>
  </si>
  <si>
    <t>Incomplete Pathways with DTA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</si>
</sst>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64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649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649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" fillId="0" borderId="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" fillId="0" borderId="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" fillId="0" borderId="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" fillId="0" borderId="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" fillId="0" borderId="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" fillId="0" borderId="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" fillId="0" borderId="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" fillId="0" borderId="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" fillId="0" borderId="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" fillId="0" borderId="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" fillId="0" borderId="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" fillId="0" borderId="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" fillId="0" borderId="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" fillId="0" borderId="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" fillId="0" borderId="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" fillId="0" borderId="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" fillId="0" borderId="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" fillId="0" borderId="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" fillId="0" borderId="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" fillId="0" borderId="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" fillId="0" borderId="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" fillId="0" borderId="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" fillId="0" borderId="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" fillId="0" borderId="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" fillId="0" borderId="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" fillId="0" borderId="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" fillId="0" borderId="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" fillId="0" borderId="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" fillId="0" borderId="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" fillId="0" borderId="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" fillId="0" borderId="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" fillId="0" borderId="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" fillId="0" borderId="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" fillId="0" borderId="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" fillId="0" borderId="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" fillId="0" borderId="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" fillId="0" borderId="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" fillId="0" borderId="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" fillId="0" borderId="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" fillId="0" borderId="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" fillId="0" borderId="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" fillId="0" borderId="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" fillId="0" borderId="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" fillId="0" borderId="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" fillId="0" borderId="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" fillId="0" borderId="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" fillId="0" borderId="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" fillId="0" borderId="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" fillId="0" borderId="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" fillId="0" borderId="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" fillId="0" borderId="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" fillId="0" borderId="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" fillId="0" borderId="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" fillId="0" borderId="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" fillId="0" borderId="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" fillId="0" borderId="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" fillId="0" borderId="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" fillId="0" borderId="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" fillId="0" borderId="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" fillId="0" borderId="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" fillId="0" borderId="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" fillId="0" borderId="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" fillId="0" borderId="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" fillId="0" borderId="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" fillId="0" borderId="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" fillId="0" borderId="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" fillId="0" borderId="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" fillId="0" borderId="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" fillId="0" borderId="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" fillId="0" borderId="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" fillId="0" borderId="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" fillId="0" borderId="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" fillId="0" borderId="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" fillId="0" borderId="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" fillId="0" borderId="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" fillId="0" borderId="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" fillId="0" borderId="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" fillId="0" borderId="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" fillId="0" borderId="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" fillId="0" borderId="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" fillId="0" borderId="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" fillId="0" borderId="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" fillId="0" borderId="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" fillId="0" borderId="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" fillId="0" borderId="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" fillId="0" borderId="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" fillId="0" borderId="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" fillId="0" borderId="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" fillId="0" borderId="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" fillId="0" borderId="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" fillId="0" borderId="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" fillId="0" borderId="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" fillId="0" borderId="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" fillId="0" borderId="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" fillId="0" borderId="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" fillId="0" borderId="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" fillId="0" borderId="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" fillId="0" borderId="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" fillId="0" borderId="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" fillId="0" borderId="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" fillId="0" borderId="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" fillId="0" borderId="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" fillId="0" borderId="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" fillId="0" borderId="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" fillId="0" borderId="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" fillId="0" borderId="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" fillId="0" borderId="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" fillId="0" borderId="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" fillId="0" borderId="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" fillId="0" borderId="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" fillId="0" borderId="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" fillId="0" borderId="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" fillId="0" borderId="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" fillId="0" borderId="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" fillId="0" borderId="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" fillId="0" borderId="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" fillId="0" borderId="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" fillId="0" borderId="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" fillId="0" borderId="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" fillId="0" borderId="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" fillId="0" borderId="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" fillId="0" borderId="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" fillId="0" borderId="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" fillId="0" borderId="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" fillId="0" borderId="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" fillId="0" borderId="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" fillId="0" borderId="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" fillId="0" borderId="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" fillId="0" borderId="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" fillId="0" borderId="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" fillId="0" borderId="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" fillId="0" borderId="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" fillId="0" borderId="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" fillId="0" borderId="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" fillId="0" borderId="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" fillId="0" borderId="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" fillId="0" borderId="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" fillId="0" borderId="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" fillId="0" borderId="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" fillId="0" borderId="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" fillId="0" borderId="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" fillId="0" borderId="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" fillId="0" borderId="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" fillId="0" borderId="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" fillId="0" borderId="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" fillId="0" borderId="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" fillId="0" borderId="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" fillId="0" borderId="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" fillId="0" borderId="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" fillId="0" borderId="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" fillId="0" borderId="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" fillId="0" borderId="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" fillId="0" borderId="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" fillId="0" borderId="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" fillId="0" borderId="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" fillId="0" borderId="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" fillId="0" borderId="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" fillId="0" borderId="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" fillId="0" borderId="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" fillId="0" borderId="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" fillId="0" borderId="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" fillId="0" borderId="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" fillId="0" borderId="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" fillId="0" borderId="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" fillId="0" borderId="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" fillId="0" borderId="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" fillId="0" borderId="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" fillId="0" borderId="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" fillId="0" borderId="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" fillId="0" borderId="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" fillId="0" borderId="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" fillId="0" borderId="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" fillId="0" borderId="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" fillId="0" borderId="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" fillId="0" borderId="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" fillId="0" borderId="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" fillId="0" borderId="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" fillId="0" borderId="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" fillId="0" borderId="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" fillId="0" borderId="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" fillId="0" borderId="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" fillId="0" borderId="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" fillId="0" borderId="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" fillId="0" borderId="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" fillId="0" borderId="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" fillId="0" borderId="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" fillId="0" borderId="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" fillId="0" borderId="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" fillId="0" borderId="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" fillId="0" borderId="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" fillId="0" borderId="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" fillId="0" borderId="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" fillId="0" borderId="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" fillId="0" borderId="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" fillId="0" borderId="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" fillId="0" borderId="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" fillId="0" borderId="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" fillId="0" borderId="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" fillId="0" borderId="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" fillId="0" borderId="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" fillId="0" borderId="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" fillId="0" borderId="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" fillId="0" borderId="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" fillId="0" borderId="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" fillId="0" borderId="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" fillId="0" borderId="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" fillId="0" borderId="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" fillId="0" borderId="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" fillId="0" borderId="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" fillId="0" borderId="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" fillId="0" borderId="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" fillId="0" borderId="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" fillId="0" borderId="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" fillId="0" borderId="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" fillId="0" borderId="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" fillId="0" borderId="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" fillId="0" borderId="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" fillId="0" borderId="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" fillId="0" borderId="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" fillId="0" borderId="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" fillId="0" borderId="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" fillId="0" borderId="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" fillId="0" borderId="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" fillId="0" borderId="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" fillId="0" borderId="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" fillId="0" borderId="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" fillId="0" borderId="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" fillId="0" borderId="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" fillId="0" borderId="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" fillId="0" borderId="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" fillId="0" borderId="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" fillId="0" borderId="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" fillId="0" borderId="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" fillId="0" borderId="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" fillId="0" borderId="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" fillId="0" borderId="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" fillId="0" borderId="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" fillId="0" borderId="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" fillId="0" borderId="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" fillId="0" borderId="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" fillId="0" borderId="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" fillId="0" borderId="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" fillId="0" borderId="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" fillId="0" borderId="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" fillId="0" borderId="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" fillId="0" borderId="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" fillId="0" borderId="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" fillId="0" borderId="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" fillId="0" borderId="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" fillId="0" borderId="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" fillId="0" borderId="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" fillId="0" borderId="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" fillId="0" borderId="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" fillId="0" borderId="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" fillId="0" borderId="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" fillId="0" borderId="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" fillId="0" borderId="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" fillId="0" borderId="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" fillId="0" borderId="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" fillId="0" borderId="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" fillId="0" borderId="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" fillId="0" borderId="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" fillId="0" borderId="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" fillId="0" borderId="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" fillId="0" borderId="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" fillId="0" borderId="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" fillId="0" borderId="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" fillId="0" borderId="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" fillId="0" borderId="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" fillId="0" borderId="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" fillId="0" borderId="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" fillId="0" borderId="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" fillId="0" borderId="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" fillId="0" borderId="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" fillId="0" borderId="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" fillId="0" borderId="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" fillId="0" borderId="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" fillId="0" borderId="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" fillId="0" borderId="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" fillId="0" borderId="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G325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>
        <v>0.0541414</v>
      </c>
      <c r="E2">
        <v>0.0205882</v>
      </c>
      <c r="F2" s="1">
        <f>D" + string(2) + " - (1.96 * E" + string(2) + ")</f>
      </c>
      <c r="G2" s="2">
        <f>D" + string(2) + " + (1.96 * E" + string(2) + ")</f>
      </c>
    </row>
    <row r="3">
      <c r="A3" t="s">
        <v>5</v>
      </c>
      <c r="B3" t="s">
        <v>6</v>
      </c>
      <c r="C3" t="s">
        <v>8</v>
      </c>
      <c r="D3">
        <v>-0.0181809</v>
      </c>
      <c r="E3">
        <v>0.0386869</v>
      </c>
      <c r="F3" s="3">
        <f>D" + string(3) + " - (1.96 * E" + string(3) + ")</f>
      </c>
      <c r="G3" s="4">
        <f>D" + string(3) + " + (1.96 * E" + string(3) + ")</f>
      </c>
    </row>
    <row r="4">
      <c r="A4" t="s">
        <v>5</v>
      </c>
      <c r="B4" t="s">
        <v>6</v>
      </c>
      <c r="C4" t="s">
        <v>9</v>
      </c>
      <c r="D4">
        <v>-0.0116062</v>
      </c>
      <c r="E4">
        <v>0.0207639</v>
      </c>
      <c r="F4" s="5">
        <f>D" + string(4) + " - (1.96 * E" + string(4) + ")</f>
      </c>
      <c r="G4" s="6">
        <f>D" + string(4) + " + (1.96 * E" + string(4) + ")</f>
      </c>
    </row>
    <row r="5">
      <c r="A5" t="s">
        <v>5</v>
      </c>
      <c r="B5" t="s">
        <v>6</v>
      </c>
      <c r="C5" t="s">
        <v>10</v>
      </c>
      <c r="D5">
        <v>10.51117</v>
      </c>
      <c r="E5">
        <v>11.76476</v>
      </c>
      <c r="F5" s="7">
        <f>D" + string(5) + " - (1.96 * E" + string(5) + ")</f>
      </c>
      <c r="G5" s="8">
        <f>D" + string(5) + " + (1.96 * E" + string(5) + ")</f>
      </c>
    </row>
    <row r="6">
      <c r="A6" t="s">
        <v>5</v>
      </c>
      <c r="B6" t="s">
        <v>11</v>
      </c>
      <c r="C6" t="s">
        <v>7</v>
      </c>
      <c r="D6">
        <v>0.0019304</v>
      </c>
      <c r="E6">
        <v>0.0206875</v>
      </c>
      <c r="F6" s="9">
        <f>D" + string(6) + " - (1.96 * E" + string(6) + ")</f>
      </c>
      <c r="G6" s="10">
        <f>D" + string(6) + " + (1.96 * E" + string(6) + ")</f>
      </c>
    </row>
    <row r="7">
      <c r="A7" t="s">
        <v>5</v>
      </c>
      <c r="B7" t="s">
        <v>11</v>
      </c>
      <c r="C7" t="s">
        <v>8</v>
      </c>
      <c r="D7">
        <v>-0.012136</v>
      </c>
      <c r="E7">
        <v>0.0253601</v>
      </c>
      <c r="F7" s="11">
        <f>D" + string(7) + " - (1.96 * E" + string(7) + ")</f>
      </c>
      <c r="G7" s="12">
        <f>D" + string(7) + " + (1.96 * E" + string(7) + ")</f>
      </c>
    </row>
    <row r="8">
      <c r="A8" t="s">
        <v>5</v>
      </c>
      <c r="B8" t="s">
        <v>11</v>
      </c>
      <c r="C8" t="s">
        <v>9</v>
      </c>
      <c r="D8">
        <v>-0.0043956</v>
      </c>
      <c r="E8">
        <v>0.0141085</v>
      </c>
      <c r="F8" s="13">
        <f>D" + string(8) + " - (1.96 * E" + string(8) + ")</f>
      </c>
      <c r="G8" s="14">
        <f>D" + string(8) + " + (1.96 * E" + string(8) + ")</f>
      </c>
    </row>
    <row r="9">
      <c r="A9" t="s">
        <v>5</v>
      </c>
      <c r="B9" t="s">
        <v>11</v>
      </c>
      <c r="C9" t="s">
        <v>10</v>
      </c>
      <c r="D9">
        <v>14.79157</v>
      </c>
      <c r="E9">
        <v>13.57004</v>
      </c>
      <c r="F9" s="15">
        <f>D" + string(9) + " - (1.96 * E" + string(9) + ")</f>
      </c>
      <c r="G9" s="16">
        <f>D" + string(9) + " + (1.96 * E" + string(9) + ")</f>
      </c>
    </row>
    <row r="10">
      <c r="A10" t="s">
        <v>5</v>
      </c>
      <c r="B10" t="s">
        <v>12</v>
      </c>
      <c r="C10" t="s">
        <v>7</v>
      </c>
      <c r="D10">
        <v>-0.009738699999999999</v>
      </c>
      <c r="E10">
        <v>0.0502874</v>
      </c>
      <c r="F10" s="17">
        <f>D" + string(10) + " - (1.96 * E" + string(10) + ")</f>
      </c>
      <c r="G10" s="18">
        <f>D" + string(10) + " + (1.96 * E" + string(10) + ")</f>
      </c>
    </row>
    <row r="11">
      <c r="A11" t="s">
        <v>5</v>
      </c>
      <c r="B11" t="s">
        <v>12</v>
      </c>
      <c r="C11" t="s">
        <v>8</v>
      </c>
      <c r="D11">
        <v>-0.0156715</v>
      </c>
      <c r="E11">
        <v>0.0344442</v>
      </c>
      <c r="F11" s="19">
        <f>D" + string(11) + " - (1.96 * E" + string(11) + ")</f>
      </c>
      <c r="G11" s="20">
        <f>D" + string(11) + " + (1.96 * E" + string(11) + ")</f>
      </c>
    </row>
    <row r="12">
      <c r="A12" t="s">
        <v>5</v>
      </c>
      <c r="B12" t="s">
        <v>12</v>
      </c>
      <c r="C12" t="s">
        <v>9</v>
      </c>
      <c r="D12">
        <v>-0.023339</v>
      </c>
      <c r="E12">
        <v>0.0239851</v>
      </c>
      <c r="F12" s="21">
        <f>D" + string(12) + " - (1.96 * E" + string(12) + ")</f>
      </c>
      <c r="G12" s="22">
        <f>D" + string(12) + " + (1.96 * E" + string(12) + ")</f>
      </c>
    </row>
    <row r="13">
      <c r="A13" t="s">
        <v>5</v>
      </c>
      <c r="B13" t="s">
        <v>12</v>
      </c>
      <c r="C13" t="s">
        <v>10</v>
      </c>
      <c r="D13">
        <v>7.394002</v>
      </c>
      <c r="E13">
        <v>9.130026000000001</v>
      </c>
      <c r="F13" s="23">
        <f>D" + string(13) + " - (1.96 * E" + string(13) + ")</f>
      </c>
      <c r="G13" s="24">
        <f>D" + string(13) + " + (1.96 * E" + string(13) + ")</f>
      </c>
    </row>
    <row r="14">
      <c r="A14" t="s">
        <v>5</v>
      </c>
      <c r="B14" t="s">
        <v>13</v>
      </c>
      <c r="C14" t="s">
        <v>7</v>
      </c>
      <c r="D14">
        <v>0.0513218</v>
      </c>
      <c r="E14">
        <v>0.0179797</v>
      </c>
      <c r="F14" s="25">
        <f>D" + string(14) + " - (1.96 * E" + string(14) + ")</f>
      </c>
      <c r="G14" s="26">
        <f>D" + string(14) + " + (1.96 * E" + string(14) + ")</f>
      </c>
    </row>
    <row r="15">
      <c r="A15" t="s">
        <v>5</v>
      </c>
      <c r="B15" t="s">
        <v>13</v>
      </c>
      <c r="C15" t="s">
        <v>8</v>
      </c>
      <c r="D15">
        <v>-0.0866306</v>
      </c>
      <c r="E15">
        <v>0.0786097</v>
      </c>
      <c r="F15" s="27">
        <f>D" + string(15) + " - (1.96 * E" + string(15) + ")</f>
      </c>
      <c r="G15" s="28">
        <f>D" + string(15) + " + (1.96 * E" + string(15) + ")</f>
      </c>
    </row>
    <row r="16">
      <c r="A16" t="s">
        <v>5</v>
      </c>
      <c r="B16" t="s">
        <v>13</v>
      </c>
      <c r="C16" t="s">
        <v>9</v>
      </c>
      <c r="D16">
        <v>-0.07636660000000001</v>
      </c>
      <c r="E16">
        <v>0.07150819999999999</v>
      </c>
      <c r="F16" s="29">
        <f>D" + string(16) + " - (1.96 * E" + string(16) + ")</f>
      </c>
      <c r="G16" s="30">
        <f>D" + string(16) + " + (1.96 * E" + string(16) + ")</f>
      </c>
    </row>
    <row r="17">
      <c r="A17" t="s">
        <v>5</v>
      </c>
      <c r="B17" t="s">
        <v>13</v>
      </c>
      <c r="C17" t="s">
        <v>10</v>
      </c>
      <c r="D17">
        <v>0.2050086</v>
      </c>
      <c r="E17">
        <v>3.822979</v>
      </c>
      <c r="F17" s="31">
        <f>D" + string(17) + " - (1.96 * E" + string(17) + ")</f>
      </c>
      <c r="G17" s="32">
        <f>D" + string(17) + " + (1.96 * E" + string(17) + ")</f>
      </c>
    </row>
    <row r="18">
      <c r="A18" t="s">
        <v>5</v>
      </c>
      <c r="B18" t="s">
        <v>14</v>
      </c>
      <c r="C18" t="s">
        <v>7</v>
      </c>
      <c r="D18">
        <v>0.0130492</v>
      </c>
      <c r="E18">
        <v>0.034423</v>
      </c>
      <c r="F18" s="33">
        <f>D" + string(18) + " - (1.96 * E" + string(18) + ")</f>
      </c>
      <c r="G18" s="34">
        <f>D" + string(18) + " + (1.96 * E" + string(18) + ")</f>
      </c>
    </row>
    <row r="19">
      <c r="A19" t="s">
        <v>5</v>
      </c>
      <c r="B19" t="s">
        <v>14</v>
      </c>
      <c r="C19" t="s">
        <v>8</v>
      </c>
      <c r="D19">
        <v>0.0126299</v>
      </c>
      <c r="E19">
        <v>0.0171478</v>
      </c>
      <c r="F19" s="35">
        <f>D" + string(19) + " - (1.96 * E" + string(19) + ")</f>
      </c>
      <c r="G19" s="36">
        <f>D" + string(19) + " + (1.96 * E" + string(19) + ")</f>
      </c>
    </row>
    <row r="20">
      <c r="A20" t="s">
        <v>5</v>
      </c>
      <c r="B20" t="s">
        <v>14</v>
      </c>
      <c r="C20" t="s">
        <v>9</v>
      </c>
      <c r="D20">
        <v>0.0003911</v>
      </c>
      <c r="E20">
        <v>0.0048792</v>
      </c>
      <c r="F20" s="37">
        <f>D" + string(20) + " - (1.96 * E" + string(20) + ")</f>
      </c>
      <c r="G20" s="38">
        <f>D" + string(20) + " + (1.96 * E" + string(20) + ")</f>
      </c>
    </row>
    <row r="21">
      <c r="A21" t="s">
        <v>5</v>
      </c>
      <c r="B21" t="s">
        <v>14</v>
      </c>
      <c r="C21" t="s">
        <v>10</v>
      </c>
      <c r="D21">
        <v>5.769032</v>
      </c>
      <c r="E21">
        <v>13.87206</v>
      </c>
      <c r="F21" s="39">
        <f>D" + string(21) + " - (1.96 * E" + string(21) + ")</f>
      </c>
      <c r="G21" s="40">
        <f>D" + string(21) + " + (1.96 * E" + string(21) + ")</f>
      </c>
    </row>
    <row r="22">
      <c r="A22" t="s">
        <v>5</v>
      </c>
      <c r="B22" t="s">
        <v>15</v>
      </c>
      <c r="C22" t="s">
        <v>7</v>
      </c>
      <c r="D22">
        <v>0.0643141</v>
      </c>
      <c r="E22">
        <v>0.022814</v>
      </c>
      <c r="F22" s="41">
        <f>D" + string(22) + " - (1.96 * E" + string(22) + ")</f>
      </c>
      <c r="G22" s="42">
        <f>D" + string(22) + " + (1.96 * E" + string(22) + ")</f>
      </c>
    </row>
    <row r="23">
      <c r="A23" t="s">
        <v>5</v>
      </c>
      <c r="B23" t="s">
        <v>15</v>
      </c>
      <c r="C23" t="s">
        <v>8</v>
      </c>
      <c r="D23">
        <v>-0.0463665</v>
      </c>
      <c r="E23">
        <v>0.0166438</v>
      </c>
      <c r="F23" s="43">
        <f>D" + string(23) + " - (1.96 * E" + string(23) + ")</f>
      </c>
      <c r="G23" s="44">
        <f>D" + string(23) + " + (1.96 * E" + string(23) + ")</f>
      </c>
    </row>
    <row r="24">
      <c r="A24" t="s">
        <v>5</v>
      </c>
      <c r="B24" t="s">
        <v>15</v>
      </c>
      <c r="C24" t="s">
        <v>9</v>
      </c>
      <c r="D24">
        <v>0.0006657</v>
      </c>
      <c r="E24">
        <v>0.0306925</v>
      </c>
      <c r="F24" s="45">
        <f>D" + string(24) + " - (1.96 * E" + string(24) + ")</f>
      </c>
      <c r="G24" s="46">
        <f>D" + string(24) + " + (1.96 * E" + string(24) + ")</f>
      </c>
    </row>
    <row r="25">
      <c r="A25" t="s">
        <v>5</v>
      </c>
      <c r="B25" t="s">
        <v>15</v>
      </c>
      <c r="C25" t="s">
        <v>10</v>
      </c>
      <c r="D25">
        <v>9.200839999999999</v>
      </c>
      <c r="E25">
        <v>5.660049</v>
      </c>
      <c r="F25" s="47">
        <f>D" + string(25) + " - (1.96 * E" + string(25) + ")</f>
      </c>
      <c r="G25" s="48">
        <f>D" + string(25) + " + (1.96 * E" + string(25) + ")</f>
      </c>
    </row>
    <row r="26">
      <c r="A26" t="s">
        <v>5</v>
      </c>
      <c r="B26" t="s">
        <v>16</v>
      </c>
      <c r="C26" t="s">
        <v>7</v>
      </c>
      <c r="D26">
        <v>0.0539707</v>
      </c>
      <c r="E26">
        <v>0.0565838</v>
      </c>
      <c r="F26" s="49">
        <f>D" + string(26) + " - (1.96 * E" + string(26) + ")</f>
      </c>
      <c r="G26" s="50">
        <f>D" + string(26) + " + (1.96 * E" + string(26) + ")</f>
      </c>
    </row>
    <row r="27">
      <c r="A27" t="s">
        <v>5</v>
      </c>
      <c r="B27" t="s">
        <v>16</v>
      </c>
      <c r="C27" t="s">
        <v>8</v>
      </c>
      <c r="D27">
        <v>-0.0919215</v>
      </c>
      <c r="E27">
        <v>0.0663348</v>
      </c>
      <c r="F27" s="51">
        <f>D" + string(27) + " - (1.96 * E" + string(27) + ")</f>
      </c>
      <c r="G27" s="52">
        <f>D" + string(27) + " + (1.96 * E" + string(27) + ")</f>
      </c>
    </row>
    <row r="28">
      <c r="A28" t="s">
        <v>5</v>
      </c>
      <c r="B28" t="s">
        <v>16</v>
      </c>
      <c r="C28" t="s">
        <v>9</v>
      </c>
      <c r="D28">
        <v>-0.0532576</v>
      </c>
      <c r="E28">
        <v>0.0437065</v>
      </c>
      <c r="F28" s="53">
        <f>D" + string(28) + " - (1.96 * E" + string(28) + ")</f>
      </c>
      <c r="G28" s="54">
        <f>D" + string(28) + " + (1.96 * E" + string(28) + ")</f>
      </c>
    </row>
    <row r="29">
      <c r="A29" t="s">
        <v>5</v>
      </c>
      <c r="B29" t="s">
        <v>16</v>
      </c>
      <c r="C29" t="s">
        <v>10</v>
      </c>
      <c r="D29">
        <v>44.4557</v>
      </c>
      <c r="E29">
        <v>28.73724</v>
      </c>
      <c r="F29" s="55">
        <f>D" + string(29) + " - (1.96 * E" + string(29) + ")</f>
      </c>
      <c r="G29" s="56">
        <f>D" + string(29) + " + (1.96 * E" + string(29) + ")</f>
      </c>
    </row>
    <row r="30">
      <c r="A30" t="s">
        <v>5</v>
      </c>
      <c r="B30" t="s">
        <v>17</v>
      </c>
      <c r="C30" t="s">
        <v>7</v>
      </c>
      <c r="D30">
        <v>0.0159547</v>
      </c>
      <c r="E30">
        <v>0.0161592</v>
      </c>
      <c r="F30" s="57">
        <f>D" + string(30) + " - (1.96 * E" + string(30) + ")</f>
      </c>
      <c r="G30" s="58">
        <f>D" + string(30) + " + (1.96 * E" + string(30) + ")</f>
      </c>
    </row>
    <row r="31">
      <c r="A31" t="s">
        <v>5</v>
      </c>
      <c r="B31" t="s">
        <v>17</v>
      </c>
      <c r="C31" t="s">
        <v>8</v>
      </c>
      <c r="D31">
        <v>-0.0156257</v>
      </c>
      <c r="E31">
        <v>0.0084285</v>
      </c>
      <c r="F31" s="59">
        <f>D" + string(31) + " - (1.96 * E" + string(31) + ")</f>
      </c>
      <c r="G31" s="60">
        <f>D" + string(31) + " + (1.96 * E" + string(31) + ")</f>
      </c>
    </row>
    <row r="32">
      <c r="A32" t="s">
        <v>5</v>
      </c>
      <c r="B32" t="s">
        <v>17</v>
      </c>
      <c r="C32" t="s">
        <v>9</v>
      </c>
      <c r="D32">
        <v>-0.008640399999999999</v>
      </c>
      <c r="E32">
        <v>0.008542900000000001</v>
      </c>
      <c r="F32" s="61">
        <f>D" + string(32) + " - (1.96 * E" + string(32) + ")</f>
      </c>
      <c r="G32" s="62">
        <f>D" + string(32) + " + (1.96 * E" + string(32) + ")</f>
      </c>
    </row>
    <row r="33">
      <c r="A33" t="s">
        <v>5</v>
      </c>
      <c r="B33" t="s">
        <v>17</v>
      </c>
      <c r="C33" t="s">
        <v>10</v>
      </c>
      <c r="D33">
        <v>-9.123875</v>
      </c>
      <c r="E33">
        <v>11.03427</v>
      </c>
      <c r="F33" s="63">
        <f>D" + string(33) + " - (1.96 * E" + string(33) + ")</f>
      </c>
      <c r="G33" s="64">
        <f>D" + string(33) + " + (1.96 * E" + string(33) + ")</f>
      </c>
    </row>
    <row r="34">
      <c r="A34" t="s">
        <v>5</v>
      </c>
      <c r="B34" t="s">
        <v>18</v>
      </c>
      <c r="C34" t="s">
        <v>7</v>
      </c>
      <c r="D34">
        <v>0.0345881</v>
      </c>
      <c r="E34">
        <v>0.0246373</v>
      </c>
      <c r="F34" s="65">
        <f>D" + string(34) + " - (1.96 * E" + string(34) + ")</f>
      </c>
      <c r="G34" s="66">
        <f>D" + string(34) + " + (1.96 * E" + string(34) + ")</f>
      </c>
    </row>
    <row r="35">
      <c r="A35" t="s">
        <v>5</v>
      </c>
      <c r="B35" t="s">
        <v>18</v>
      </c>
      <c r="C35" t="s">
        <v>8</v>
      </c>
      <c r="D35">
        <v>-0.0069221</v>
      </c>
      <c r="E35">
        <v>0.0033741</v>
      </c>
      <c r="F35" s="67">
        <f>D" + string(35) + " - (1.96 * E" + string(35) + ")</f>
      </c>
      <c r="G35" s="68">
        <f>D" + string(35) + " + (1.96 * E" + string(35) + ")</f>
      </c>
    </row>
    <row r="36">
      <c r="A36" t="s">
        <v>5</v>
      </c>
      <c r="B36" t="s">
        <v>18</v>
      </c>
      <c r="C36" t="s">
        <v>9</v>
      </c>
      <c r="D36">
        <v>-0.0105738</v>
      </c>
      <c r="E36">
        <v>0.0155045</v>
      </c>
      <c r="F36" s="69">
        <f>D" + string(36) + " - (1.96 * E" + string(36) + ")</f>
      </c>
      <c r="G36" s="70">
        <f>D" + string(36) + " + (1.96 * E" + string(36) + ")</f>
      </c>
    </row>
    <row r="37">
      <c r="A37" t="s">
        <v>5</v>
      </c>
      <c r="B37" t="s">
        <v>18</v>
      </c>
      <c r="C37" t="s">
        <v>10</v>
      </c>
      <c r="D37">
        <v>-0.839663</v>
      </c>
      <c r="E37">
        <v>5.161307</v>
      </c>
      <c r="F37" s="71">
        <f>D" + string(37) + " - (1.96 * E" + string(37) + ")</f>
      </c>
      <c r="G37" s="72">
        <f>D" + string(37) + " + (1.96 * E" + string(37) + ")</f>
      </c>
    </row>
    <row r="38">
      <c r="A38" t="s">
        <v>5</v>
      </c>
      <c r="B38" t="s">
        <v>19</v>
      </c>
      <c r="C38" t="s">
        <v>7</v>
      </c>
      <c r="D38">
        <v>0.0454701</v>
      </c>
      <c r="E38">
        <v>0.0274026</v>
      </c>
      <c r="F38" s="73">
        <f>D" + string(38) + " - (1.96 * E" + string(38) + ")</f>
      </c>
      <c r="G38" s="74">
        <f>D" + string(38) + " + (1.96 * E" + string(38) + ")</f>
      </c>
    </row>
    <row r="39">
      <c r="A39" t="s">
        <v>5</v>
      </c>
      <c r="B39" t="s">
        <v>19</v>
      </c>
      <c r="C39" t="s">
        <v>8</v>
      </c>
      <c r="D39">
        <v>-0.0176445</v>
      </c>
      <c r="E39">
        <v>0.0109331</v>
      </c>
      <c r="F39" s="75">
        <f>D" + string(39) + " - (1.96 * E" + string(39) + ")</f>
      </c>
      <c r="G39" s="76">
        <f>D" + string(39) + " + (1.96 * E" + string(39) + ")</f>
      </c>
    </row>
    <row r="40">
      <c r="A40" t="s">
        <v>5</v>
      </c>
      <c r="B40" t="s">
        <v>19</v>
      </c>
      <c r="C40" t="s">
        <v>9</v>
      </c>
      <c r="D40">
        <v>0.0005281</v>
      </c>
      <c r="E40">
        <v>0.0058686</v>
      </c>
      <c r="F40" s="77">
        <f>D" + string(40) + " - (1.96 * E" + string(40) + ")</f>
      </c>
      <c r="G40" s="78">
        <f>D" + string(40) + " + (1.96 * E" + string(40) + ")</f>
      </c>
    </row>
    <row r="41">
      <c r="A41" t="s">
        <v>5</v>
      </c>
      <c r="B41" t="s">
        <v>19</v>
      </c>
      <c r="C41" t="s">
        <v>10</v>
      </c>
      <c r="D41">
        <v>-31.06496</v>
      </c>
      <c r="E41">
        <v>17.71308</v>
      </c>
      <c r="F41" s="79">
        <f>D" + string(41) + " - (1.96 * E" + string(41) + ")</f>
      </c>
      <c r="G41" s="80">
        <f>D" + string(41) + " + (1.96 * E" + string(41) + ")</f>
      </c>
    </row>
    <row r="42">
      <c r="A42" t="s">
        <v>5</v>
      </c>
      <c r="B42" t="s">
        <v>20</v>
      </c>
      <c r="C42" t="s">
        <v>7</v>
      </c>
      <c r="D42">
        <v>-0.0146643</v>
      </c>
      <c r="E42">
        <v>0.009961899999999999</v>
      </c>
      <c r="F42" s="81">
        <f>D" + string(42) + " - (1.96 * E" + string(42) + ")</f>
      </c>
      <c r="G42" s="82">
        <f>D" + string(42) + " + (1.96 * E" + string(42) + ")</f>
      </c>
    </row>
    <row r="43">
      <c r="A43" t="s">
        <v>5</v>
      </c>
      <c r="B43" t="s">
        <v>20</v>
      </c>
      <c r="C43" t="s">
        <v>8</v>
      </c>
      <c r="D43">
        <v>-0.0266175</v>
      </c>
      <c r="E43">
        <v>0.045226</v>
      </c>
      <c r="F43" s="83">
        <f>D" + string(43) + " - (1.96 * E" + string(43) + ")</f>
      </c>
      <c r="G43" s="84">
        <f>D" + string(43) + " + (1.96 * E" + string(43) + ")</f>
      </c>
    </row>
    <row r="44">
      <c r="A44" t="s">
        <v>5</v>
      </c>
      <c r="B44" t="s">
        <v>20</v>
      </c>
      <c r="C44" t="s">
        <v>9</v>
      </c>
      <c r="D44">
        <v>2.47e-05</v>
      </c>
      <c r="E44">
        <v>0.002903</v>
      </c>
      <c r="F44" s="85">
        <f>D" + string(44) + " - (1.96 * E" + string(44) + ")</f>
      </c>
      <c r="G44" s="86">
        <f>D" + string(44) + " + (1.96 * E" + string(44) + ")</f>
      </c>
    </row>
    <row r="45">
      <c r="A45" t="s">
        <v>5</v>
      </c>
      <c r="B45" t="s">
        <v>20</v>
      </c>
      <c r="C45" t="s">
        <v>10</v>
      </c>
      <c r="D45">
        <v>-1.581761</v>
      </c>
      <c r="E45">
        <v>1.998482</v>
      </c>
      <c r="F45" s="87">
        <f>D" + string(45) + " - (1.96 * E" + string(45) + ")</f>
      </c>
      <c r="G45" s="88">
        <f>D" + string(45) + " + (1.96 * E" + string(45) + ")</f>
      </c>
    </row>
    <row r="46">
      <c r="A46" t="s">
        <v>5</v>
      </c>
      <c r="B46" t="s">
        <v>21</v>
      </c>
      <c r="C46" t="s">
        <v>7</v>
      </c>
      <c r="D46">
        <v>0.0194267</v>
      </c>
      <c r="E46">
        <v>0.0286521</v>
      </c>
      <c r="F46" s="89">
        <f>D" + string(46) + " - (1.96 * E" + string(46) + ")</f>
      </c>
      <c r="G46" s="90">
        <f>D" + string(46) + " + (1.96 * E" + string(46) + ")</f>
      </c>
    </row>
    <row r="47">
      <c r="A47" t="s">
        <v>5</v>
      </c>
      <c r="B47" t="s">
        <v>21</v>
      </c>
      <c r="C47" t="s">
        <v>8</v>
      </c>
      <c r="D47">
        <v>0.0052282</v>
      </c>
      <c r="E47">
        <v>0.0042532</v>
      </c>
      <c r="F47" s="91">
        <f>D" + string(47) + " - (1.96 * E" + string(47) + ")</f>
      </c>
      <c r="G47" s="92">
        <f>D" + string(47) + " + (1.96 * E" + string(47) + ")</f>
      </c>
    </row>
    <row r="48">
      <c r="A48" t="s">
        <v>5</v>
      </c>
      <c r="B48" t="s">
        <v>21</v>
      </c>
      <c r="C48" t="s">
        <v>9</v>
      </c>
      <c r="D48">
        <v>0.0027193</v>
      </c>
      <c r="E48">
        <v>0.0020976</v>
      </c>
      <c r="F48" s="93">
        <f>D" + string(48) + " - (1.96 * E" + string(48) + ")</f>
      </c>
      <c r="G48" s="94">
        <f>D" + string(48) + " + (1.96 * E" + string(48) + ")</f>
      </c>
    </row>
    <row r="49">
      <c r="A49" t="s">
        <v>5</v>
      </c>
      <c r="B49" t="s">
        <v>21</v>
      </c>
      <c r="C49" t="s">
        <v>10</v>
      </c>
      <c r="D49">
        <v>-0.3337478</v>
      </c>
      <c r="E49">
        <v>2.283553</v>
      </c>
      <c r="F49" s="95">
        <f>D" + string(49) + " - (1.96 * E" + string(49) + ")</f>
      </c>
      <c r="G49" s="96">
        <f>D" + string(49) + " + (1.96 * E" + string(49) + ")</f>
      </c>
    </row>
    <row r="50">
      <c r="A50" t="s">
        <v>5</v>
      </c>
      <c r="B50" t="s">
        <v>22</v>
      </c>
      <c r="C50" t="s">
        <v>7</v>
      </c>
      <c r="D50">
        <v>0.0102251</v>
      </c>
      <c r="E50">
        <v>0.0278845</v>
      </c>
      <c r="F50" s="97">
        <f>D" + string(50) + " - (1.96 * E" + string(50) + ")</f>
      </c>
      <c r="G50" s="98">
        <f>D" + string(50) + " + (1.96 * E" + string(50) + ")</f>
      </c>
    </row>
    <row r="51">
      <c r="A51" t="s">
        <v>5</v>
      </c>
      <c r="B51" t="s">
        <v>22</v>
      </c>
      <c r="C51" t="s">
        <v>8</v>
      </c>
      <c r="D51">
        <v>-0.0219399</v>
      </c>
      <c r="E51">
        <v>0.0125492</v>
      </c>
      <c r="F51" s="99">
        <f>D" + string(51) + " - (1.96 * E" + string(51) + ")</f>
      </c>
      <c r="G51" s="100">
        <f>D" + string(51) + " + (1.96 * E" + string(51) + ")</f>
      </c>
    </row>
    <row r="52">
      <c r="A52" t="s">
        <v>5</v>
      </c>
      <c r="B52" t="s">
        <v>22</v>
      </c>
      <c r="C52" t="s">
        <v>9</v>
      </c>
      <c r="D52">
        <v>-0.0060223</v>
      </c>
      <c r="E52">
        <v>0.0058351</v>
      </c>
      <c r="F52" s="101">
        <f>D" + string(52) + " - (1.96 * E" + string(52) + ")</f>
      </c>
      <c r="G52" s="102">
        <f>D" + string(52) + " + (1.96 * E" + string(52) + ")</f>
      </c>
    </row>
    <row r="53">
      <c r="A53" t="s">
        <v>5</v>
      </c>
      <c r="B53" t="s">
        <v>22</v>
      </c>
      <c r="C53" t="s">
        <v>10</v>
      </c>
      <c r="D53">
        <v>-4.897551</v>
      </c>
      <c r="E53">
        <v>4.37866</v>
      </c>
      <c r="F53" s="103">
        <f>D" + string(53) + " - (1.96 * E" + string(53) + ")</f>
      </c>
      <c r="G53" s="104">
        <f>D" + string(53) + " + (1.96 * E" + string(53) + ")</f>
      </c>
    </row>
    <row r="54">
      <c r="A54" t="s">
        <v>5</v>
      </c>
      <c r="B54" t="s">
        <v>23</v>
      </c>
      <c r="C54" t="s">
        <v>7</v>
      </c>
      <c r="D54">
        <v>0.0357315</v>
      </c>
      <c r="E54">
        <v>0.0213298</v>
      </c>
      <c r="F54" s="105">
        <f>D" + string(54) + " - (1.96 * E" + string(54) + ")</f>
      </c>
      <c r="G54" s="106">
        <f>D" + string(54) + " + (1.96 * E" + string(54) + ")</f>
      </c>
    </row>
    <row r="55">
      <c r="A55" t="s">
        <v>5</v>
      </c>
      <c r="B55" t="s">
        <v>23</v>
      </c>
      <c r="C55" t="s">
        <v>8</v>
      </c>
      <c r="D55">
        <v>-0.0325913</v>
      </c>
      <c r="E55">
        <v>0.02455</v>
      </c>
      <c r="F55" s="107">
        <f>D" + string(55) + " - (1.96 * E" + string(55) + ")</f>
      </c>
      <c r="G55" s="108">
        <f>D" + string(55) + " + (1.96 * E" + string(55) + ")</f>
      </c>
    </row>
    <row r="56">
      <c r="A56" t="s">
        <v>5</v>
      </c>
      <c r="B56" t="s">
        <v>23</v>
      </c>
      <c r="C56" t="s">
        <v>9</v>
      </c>
      <c r="D56">
        <v>-0.0135451</v>
      </c>
      <c r="E56">
        <v>0.0141858</v>
      </c>
      <c r="F56" s="109">
        <f>D" + string(56) + " - (1.96 * E" + string(56) + ")</f>
      </c>
      <c r="G56" s="110">
        <f>D" + string(56) + " + (1.96 * E" + string(56) + ")</f>
      </c>
    </row>
    <row r="57">
      <c r="A57" t="s">
        <v>5</v>
      </c>
      <c r="B57" t="s">
        <v>23</v>
      </c>
      <c r="C57" t="s">
        <v>10</v>
      </c>
      <c r="D57">
        <v>-5.880806</v>
      </c>
      <c r="E57">
        <v>2.947581</v>
      </c>
      <c r="F57" s="111">
        <f>D" + string(57) + " - (1.96 * E" + string(57) + ")</f>
      </c>
      <c r="G57" s="112">
        <f>D" + string(57) + " + (1.96 * E" + string(57) + ")</f>
      </c>
    </row>
    <row r="58">
      <c r="A58" t="s">
        <v>5</v>
      </c>
      <c r="B58" t="s">
        <v>24</v>
      </c>
      <c r="C58" t="s">
        <v>7</v>
      </c>
      <c r="D58">
        <v>0.0333079</v>
      </c>
      <c r="E58">
        <v>0.0189014</v>
      </c>
      <c r="F58" s="113">
        <f>D" + string(58) + " - (1.96 * E" + string(58) + ")</f>
      </c>
      <c r="G58" s="114">
        <f>D" + string(58) + " + (1.96 * E" + string(58) + ")</f>
      </c>
    </row>
    <row r="59">
      <c r="A59" t="s">
        <v>5</v>
      </c>
      <c r="B59" t="s">
        <v>24</v>
      </c>
      <c r="C59" t="s">
        <v>8</v>
      </c>
      <c r="D59">
        <v>-0.0232118</v>
      </c>
      <c r="E59">
        <v>0.0195874</v>
      </c>
      <c r="F59" s="115">
        <f>D" + string(59) + " - (1.96 * E" + string(59) + ")</f>
      </c>
      <c r="G59" s="116">
        <f>D" + string(59) + " + (1.96 * E" + string(59) + ")</f>
      </c>
    </row>
    <row r="60">
      <c r="A60" t="s">
        <v>5</v>
      </c>
      <c r="B60" t="s">
        <v>24</v>
      </c>
      <c r="C60" t="s">
        <v>9</v>
      </c>
      <c r="D60">
        <v>-0.0147612</v>
      </c>
      <c r="E60">
        <v>0.0127126</v>
      </c>
      <c r="F60" s="117">
        <f>D" + string(60) + " - (1.96 * E" + string(60) + ")</f>
      </c>
      <c r="G60" s="118">
        <f>D" + string(60) + " + (1.96 * E" + string(60) + ")</f>
      </c>
    </row>
    <row r="61">
      <c r="A61" t="s">
        <v>5</v>
      </c>
      <c r="B61" t="s">
        <v>24</v>
      </c>
      <c r="C61" t="s">
        <v>10</v>
      </c>
      <c r="D61">
        <v>33.84185</v>
      </c>
      <c r="E61">
        <v>89.62709</v>
      </c>
      <c r="F61" s="119">
        <f>D" + string(61) + " - (1.96 * E" + string(61) + ")</f>
      </c>
      <c r="G61" s="120">
        <f>D" + string(61) + " + (1.96 * E" + string(61) + ")</f>
      </c>
    </row>
    <row r="62">
      <c r="A62" t="s">
        <v>5</v>
      </c>
      <c r="B62" t="s">
        <v>25</v>
      </c>
      <c r="C62" t="s">
        <v>7</v>
      </c>
      <c r="D62">
        <v>-0.0175364</v>
      </c>
      <c r="E62">
        <v>0.0510123</v>
      </c>
      <c r="F62" s="121">
        <f>D" + string(62) + " - (1.96 * E" + string(62) + ")</f>
      </c>
      <c r="G62" s="122">
        <f>D" + string(62) + " + (1.96 * E" + string(62) + ")</f>
      </c>
    </row>
    <row r="63">
      <c r="A63" t="s">
        <v>5</v>
      </c>
      <c r="B63" t="s">
        <v>25</v>
      </c>
      <c r="C63" t="s">
        <v>8</v>
      </c>
      <c r="D63">
        <v>-0.0188022</v>
      </c>
      <c r="E63">
        <v>0.009544</v>
      </c>
      <c r="F63" s="123">
        <f>D" + string(63) + " - (1.96 * E" + string(63) + ")</f>
      </c>
      <c r="G63" s="124">
        <f>D" + string(63) + " + (1.96 * E" + string(63) + ")</f>
      </c>
    </row>
    <row r="64">
      <c r="A64" t="s">
        <v>5</v>
      </c>
      <c r="B64" t="s">
        <v>25</v>
      </c>
      <c r="C64" t="s">
        <v>9</v>
      </c>
      <c r="D64">
        <v>-0.0054813</v>
      </c>
      <c r="E64">
        <v>0.0108199</v>
      </c>
      <c r="F64" s="125">
        <f>D" + string(64) + " - (1.96 * E" + string(64) + ")</f>
      </c>
      <c r="G64" s="126">
        <f>D" + string(64) + " + (1.96 * E" + string(64) + ")</f>
      </c>
    </row>
    <row r="65">
      <c r="A65" t="s">
        <v>5</v>
      </c>
      <c r="B65" t="s">
        <v>25</v>
      </c>
      <c r="C65" t="s">
        <v>10</v>
      </c>
      <c r="D65">
        <v>-20.06601</v>
      </c>
      <c r="E65">
        <v>30.25771</v>
      </c>
      <c r="F65" s="127">
        <f>D" + string(65) + " - (1.96 * E" + string(65) + ")</f>
      </c>
      <c r="G65" s="128">
        <f>D" + string(65) + " + (1.96 * E" + string(65) + ")</f>
      </c>
    </row>
    <row r="66">
      <c r="A66" t="s">
        <v>5</v>
      </c>
      <c r="B66" t="s">
        <v>26</v>
      </c>
      <c r="C66" t="s">
        <v>7</v>
      </c>
      <c r="D66">
        <v>-0.00865</v>
      </c>
      <c r="E66">
        <v>0.0353212</v>
      </c>
      <c r="F66" s="129">
        <f>D" + string(66) + " - (1.96 * E" + string(66) + ")</f>
      </c>
      <c r="G66" s="130">
        <f>D" + string(66) + " + (1.96 * E" + string(66) + ")</f>
      </c>
    </row>
    <row r="67">
      <c r="A67" t="s">
        <v>5</v>
      </c>
      <c r="B67" t="s">
        <v>26</v>
      </c>
      <c r="C67" t="s">
        <v>8</v>
      </c>
      <c r="D67">
        <v>0.0250386</v>
      </c>
      <c r="E67">
        <v>0.0265152</v>
      </c>
      <c r="F67" s="131">
        <f>D" + string(67) + " - (1.96 * E" + string(67) + ")</f>
      </c>
      <c r="G67" s="132">
        <f>D" + string(67) + " + (1.96 * E" + string(67) + ")</f>
      </c>
    </row>
    <row r="68">
      <c r="A68" t="s">
        <v>5</v>
      </c>
      <c r="B68" t="s">
        <v>26</v>
      </c>
      <c r="C68" t="s">
        <v>9</v>
      </c>
      <c r="D68">
        <v>-0.0161922</v>
      </c>
      <c r="E68">
        <v>0.0124197</v>
      </c>
      <c r="F68" s="133">
        <f>D" + string(68) + " - (1.96 * E" + string(68) + ")</f>
      </c>
      <c r="G68" s="134">
        <f>D" + string(68) + " + (1.96 * E" + string(68) + ")</f>
      </c>
    </row>
    <row r="69">
      <c r="A69" t="s">
        <v>5</v>
      </c>
      <c r="B69" t="s">
        <v>26</v>
      </c>
      <c r="C69" t="s">
        <v>10</v>
      </c>
      <c r="D69">
        <v>14.41703</v>
      </c>
      <c r="E69">
        <v>10.71698</v>
      </c>
      <c r="F69" s="135">
        <f>D" + string(69) + " - (1.96 * E" + string(69) + ")</f>
      </c>
      <c r="G69" s="136">
        <f>D" + string(69) + " + (1.96 * E" + string(69) + ")</f>
      </c>
    </row>
    <row r="70">
      <c r="A70" t="s">
        <v>5</v>
      </c>
      <c r="B70" t="s">
        <v>27</v>
      </c>
      <c r="C70" t="s">
        <v>7</v>
      </c>
      <c r="D70">
        <v>-0.0210544</v>
      </c>
      <c r="E70">
        <v>0.045438</v>
      </c>
      <c r="F70" s="137">
        <f>D" + string(70) + " - (1.96 * E" + string(70) + ")</f>
      </c>
      <c r="G70" s="138">
        <f>D" + string(70) + " + (1.96 * E" + string(70) + ")</f>
      </c>
    </row>
    <row r="71">
      <c r="A71" t="s">
        <v>5</v>
      </c>
      <c r="B71" t="s">
        <v>27</v>
      </c>
      <c r="C71" t="s">
        <v>8</v>
      </c>
      <c r="D71">
        <v>0.0170245</v>
      </c>
      <c r="E71">
        <v>0.0294784</v>
      </c>
      <c r="F71" s="139">
        <f>D" + string(71) + " - (1.96 * E" + string(71) + ")</f>
      </c>
      <c r="G71" s="140">
        <f>D" + string(71) + " + (1.96 * E" + string(71) + ")</f>
      </c>
    </row>
    <row r="72">
      <c r="A72" t="s">
        <v>5</v>
      </c>
      <c r="B72" t="s">
        <v>27</v>
      </c>
      <c r="C72" t="s">
        <v>9</v>
      </c>
      <c r="D72">
        <v>-0.0032156</v>
      </c>
      <c r="E72">
        <v>0.003453</v>
      </c>
      <c r="F72" s="141">
        <f>D" + string(72) + " - (1.96 * E" + string(72) + ")</f>
      </c>
      <c r="G72" s="142">
        <f>D" + string(72) + " + (1.96 * E" + string(72) + ")</f>
      </c>
    </row>
    <row r="73">
      <c r="A73" t="s">
        <v>5</v>
      </c>
      <c r="B73" t="s">
        <v>27</v>
      </c>
      <c r="C73" t="s">
        <v>10</v>
      </c>
      <c r="D73">
        <v>16.03774</v>
      </c>
      <c r="E73">
        <v>25.58819</v>
      </c>
      <c r="F73" s="143">
        <f>D" + string(73) + " - (1.96 * E" + string(73) + ")</f>
      </c>
      <c r="G73" s="144">
        <f>D" + string(73) + " + (1.96 * E" + string(73) + ")</f>
      </c>
    </row>
    <row r="74">
      <c r="A74" t="s">
        <v>5</v>
      </c>
      <c r="B74" t="s">
        <v>28</v>
      </c>
      <c r="C74" t="s">
        <v>7</v>
      </c>
      <c r="D74">
        <v>0.0435484</v>
      </c>
      <c r="E74">
        <v>0.0165198</v>
      </c>
      <c r="F74" s="145">
        <f>D" + string(74) + " - (1.96 * E" + string(74) + ")</f>
      </c>
      <c r="G74" s="146">
        <f>D" + string(74) + " + (1.96 * E" + string(74) + ")</f>
      </c>
    </row>
    <row r="75">
      <c r="A75" t="s">
        <v>5</v>
      </c>
      <c r="B75" t="s">
        <v>28</v>
      </c>
      <c r="C75" t="s">
        <v>8</v>
      </c>
      <c r="D75">
        <v>-0.0068693</v>
      </c>
      <c r="E75">
        <v>0.0101831</v>
      </c>
      <c r="F75" s="147">
        <f>D" + string(75) + " - (1.96 * E" + string(75) + ")</f>
      </c>
      <c r="G75" s="148">
        <f>D" + string(75) + " + (1.96 * E" + string(75) + ")</f>
      </c>
    </row>
    <row r="76">
      <c r="A76" t="s">
        <v>5</v>
      </c>
      <c r="B76" t="s">
        <v>28</v>
      </c>
      <c r="C76" t="s">
        <v>9</v>
      </c>
      <c r="D76">
        <v>-0.014281</v>
      </c>
      <c r="E76">
        <v>0.012681</v>
      </c>
      <c r="F76" s="149">
        <f>D" + string(76) + " - (1.96 * E" + string(76) + ")</f>
      </c>
      <c r="G76" s="150">
        <f>D" + string(76) + " + (1.96 * E" + string(76) + ")</f>
      </c>
    </row>
    <row r="77">
      <c r="A77" t="s">
        <v>5</v>
      </c>
      <c r="B77" t="s">
        <v>28</v>
      </c>
      <c r="C77" t="s">
        <v>10</v>
      </c>
      <c r="D77">
        <v>-2.461399</v>
      </c>
      <c r="E77">
        <v>4.136539</v>
      </c>
      <c r="F77" s="151">
        <f>D" + string(77) + " - (1.96 * E" + string(77) + ")</f>
      </c>
      <c r="G77" s="152">
        <f>D" + string(77) + " + (1.96 * E" + string(77) + ")</f>
      </c>
    </row>
    <row r="78">
      <c r="A78" t="s">
        <v>29</v>
      </c>
      <c r="B78" t="s">
        <v>6</v>
      </c>
      <c r="C78" t="s">
        <v>7</v>
      </c>
      <c r="D78">
        <v>0.0285972</v>
      </c>
      <c r="E78">
        <v>0.0132077</v>
      </c>
      <c r="F78" s="153">
        <f>D" + string(78) + " - (1.96 * E" + string(78) + ")</f>
      </c>
      <c r="G78" s="154">
        <f>D" + string(78) + " + (1.96 * E" + string(78) + ")</f>
      </c>
    </row>
    <row r="79">
      <c r="A79" t="s">
        <v>29</v>
      </c>
      <c r="B79" t="s">
        <v>6</v>
      </c>
      <c r="C79" t="s">
        <v>8</v>
      </c>
      <c r="D79">
        <v>-0.0144685</v>
      </c>
      <c r="E79">
        <v>0.0060085</v>
      </c>
      <c r="F79" s="155">
        <f>D" + string(79) + " - (1.96 * E" + string(79) + ")</f>
      </c>
      <c r="G79" s="156">
        <f>D" + string(79) + " + (1.96 * E" + string(79) + ")</f>
      </c>
    </row>
    <row r="80">
      <c r="A80" t="s">
        <v>29</v>
      </c>
      <c r="B80" t="s">
        <v>6</v>
      </c>
      <c r="C80" t="s">
        <v>9</v>
      </c>
      <c r="D80">
        <v>-0.0134235</v>
      </c>
      <c r="E80">
        <v>0.0046425</v>
      </c>
      <c r="F80" s="157">
        <f>D" + string(80) + " - (1.96 * E" + string(80) + ")</f>
      </c>
      <c r="G80" s="158">
        <f>D" + string(80) + " + (1.96 * E" + string(80) + ")</f>
      </c>
    </row>
    <row r="81">
      <c r="A81" t="s">
        <v>29</v>
      </c>
      <c r="B81" t="s">
        <v>6</v>
      </c>
      <c r="C81" t="s">
        <v>10</v>
      </c>
      <c r="D81">
        <v>14.44826</v>
      </c>
      <c r="E81">
        <v>6.818626</v>
      </c>
      <c r="F81" s="159">
        <f>D" + string(81) + " - (1.96 * E" + string(81) + ")</f>
      </c>
      <c r="G81" s="160">
        <f>D" + string(81) + " + (1.96 * E" + string(81) + ")</f>
      </c>
    </row>
    <row r="82">
      <c r="A82" t="s">
        <v>29</v>
      </c>
      <c r="B82" t="s">
        <v>11</v>
      </c>
      <c r="C82" t="s">
        <v>7</v>
      </c>
      <c r="D82">
        <v>-0.0053629</v>
      </c>
      <c r="E82">
        <v>0.0152022</v>
      </c>
      <c r="F82" s="161">
        <f>D" + string(82) + " - (1.96 * E" + string(82) + ")</f>
      </c>
      <c r="G82" s="162">
        <f>D" + string(82) + " + (1.96 * E" + string(82) + ")</f>
      </c>
    </row>
    <row r="83">
      <c r="A83" t="s">
        <v>29</v>
      </c>
      <c r="B83" t="s">
        <v>11</v>
      </c>
      <c r="C83" t="s">
        <v>8</v>
      </c>
      <c r="D83">
        <v>-0.0045967</v>
      </c>
      <c r="E83">
        <v>0.0058183</v>
      </c>
      <c r="F83" s="163">
        <f>D" + string(83) + " - (1.96 * E" + string(83) + ")</f>
      </c>
      <c r="G83" s="164">
        <f>D" + string(83) + " + (1.96 * E" + string(83) + ")</f>
      </c>
    </row>
    <row r="84">
      <c r="A84" t="s">
        <v>29</v>
      </c>
      <c r="B84" t="s">
        <v>11</v>
      </c>
      <c r="C84" t="s">
        <v>9</v>
      </c>
      <c r="D84">
        <v>-0.0018482</v>
      </c>
      <c r="E84">
        <v>0.0041229</v>
      </c>
      <c r="F84" s="165">
        <f>D" + string(84) + " - (1.96 * E" + string(84) + ")</f>
      </c>
      <c r="G84" s="166">
        <f>D" + string(84) + " + (1.96 * E" + string(84) + ")</f>
      </c>
    </row>
    <row r="85">
      <c r="A85" t="s">
        <v>29</v>
      </c>
      <c r="B85" t="s">
        <v>11</v>
      </c>
      <c r="C85" t="s">
        <v>10</v>
      </c>
      <c r="D85">
        <v>27.76637</v>
      </c>
      <c r="E85">
        <v>10.81976</v>
      </c>
      <c r="F85" s="167">
        <f>D" + string(85) + " - (1.96 * E" + string(85) + ")</f>
      </c>
      <c r="G85" s="168">
        <f>D" + string(85) + " + (1.96 * E" + string(85) + ")</f>
      </c>
    </row>
    <row r="86">
      <c r="A86" t="s">
        <v>29</v>
      </c>
      <c r="B86" t="s">
        <v>12</v>
      </c>
      <c r="C86" t="s">
        <v>7</v>
      </c>
      <c r="D86">
        <v>-0.0297564</v>
      </c>
      <c r="E86">
        <v>0.0159788</v>
      </c>
      <c r="F86" s="169">
        <f>D" + string(86) + " - (1.96 * E" + string(86) + ")</f>
      </c>
      <c r="G86" s="170">
        <f>D" + string(86) + " + (1.96 * E" + string(86) + ")</f>
      </c>
    </row>
    <row r="87">
      <c r="A87" t="s">
        <v>29</v>
      </c>
      <c r="B87" t="s">
        <v>12</v>
      </c>
      <c r="C87" t="s">
        <v>8</v>
      </c>
      <c r="D87">
        <v>0.0095694</v>
      </c>
      <c r="E87">
        <v>0.0101358</v>
      </c>
      <c r="F87" s="171">
        <f>D" + string(87) + " - (1.96 * E" + string(87) + ")</f>
      </c>
      <c r="G87" s="172">
        <f>D" + string(87) + " + (1.96 * E" + string(87) + ")</f>
      </c>
    </row>
    <row r="88">
      <c r="A88" t="s">
        <v>29</v>
      </c>
      <c r="B88" t="s">
        <v>12</v>
      </c>
      <c r="C88" t="s">
        <v>9</v>
      </c>
      <c r="D88">
        <v>0.0063148</v>
      </c>
      <c r="E88">
        <v>0.0072619</v>
      </c>
      <c r="F88" s="173">
        <f>D" + string(88) + " - (1.96 * E" + string(88) + ")</f>
      </c>
      <c r="G88" s="174">
        <f>D" + string(88) + " + (1.96 * E" + string(88) + ")</f>
      </c>
    </row>
    <row r="89">
      <c r="A89" t="s">
        <v>29</v>
      </c>
      <c r="B89" t="s">
        <v>12</v>
      </c>
      <c r="C89" t="s">
        <v>10</v>
      </c>
      <c r="D89">
        <v>5.380944</v>
      </c>
      <c r="E89">
        <v>12.12213</v>
      </c>
      <c r="F89" s="175">
        <f>D" + string(89) + " - (1.96 * E" + string(89) + ")</f>
      </c>
      <c r="G89" s="176">
        <f>D" + string(89) + " + (1.96 * E" + string(89) + ")</f>
      </c>
    </row>
    <row r="90">
      <c r="A90" t="s">
        <v>29</v>
      </c>
      <c r="B90" t="s">
        <v>13</v>
      </c>
      <c r="C90" t="s">
        <v>7</v>
      </c>
      <c r="D90">
        <v>-0.028628</v>
      </c>
      <c r="E90">
        <v>0.0352431</v>
      </c>
      <c r="F90" s="177">
        <f>D" + string(90) + " - (1.96 * E" + string(90) + ")</f>
      </c>
      <c r="G90" s="178">
        <f>D" + string(90) + " + (1.96 * E" + string(90) + ")</f>
      </c>
    </row>
    <row r="91">
      <c r="A91" t="s">
        <v>29</v>
      </c>
      <c r="B91" t="s">
        <v>13</v>
      </c>
      <c r="C91" t="s">
        <v>8</v>
      </c>
      <c r="D91">
        <v>-0.0182999</v>
      </c>
      <c r="E91">
        <v>0.0182125</v>
      </c>
      <c r="F91" s="179">
        <f>D" + string(91) + " - (1.96 * E" + string(91) + ")</f>
      </c>
      <c r="G91" s="180">
        <f>D" + string(91) + " + (1.96 * E" + string(91) + ")</f>
      </c>
    </row>
    <row r="92">
      <c r="A92" t="s">
        <v>29</v>
      </c>
      <c r="B92" t="s">
        <v>13</v>
      </c>
      <c r="C92" t="s">
        <v>9</v>
      </c>
      <c r="D92">
        <v>-0.0058116</v>
      </c>
      <c r="E92">
        <v>0.0112775</v>
      </c>
      <c r="F92" s="181">
        <f>D" + string(92) + " - (1.96 * E" + string(92) + ")</f>
      </c>
      <c r="G92" s="182">
        <f>D" + string(92) + " + (1.96 * E" + string(92) + ")</f>
      </c>
    </row>
    <row r="93">
      <c r="A93" t="s">
        <v>29</v>
      </c>
      <c r="B93" t="s">
        <v>13</v>
      </c>
      <c r="C93" t="s">
        <v>10</v>
      </c>
      <c r="D93">
        <v>7.855441</v>
      </c>
      <c r="E93">
        <v>18.42073</v>
      </c>
      <c r="F93" s="183">
        <f>D" + string(93) + " - (1.96 * E" + string(93) + ")</f>
      </c>
      <c r="G93" s="184">
        <f>D" + string(93) + " + (1.96 * E" + string(93) + ")</f>
      </c>
    </row>
    <row r="94">
      <c r="A94" t="s">
        <v>29</v>
      </c>
      <c r="B94" t="s">
        <v>14</v>
      </c>
      <c r="C94" t="s">
        <v>7</v>
      </c>
      <c r="D94">
        <v>-0.0144976</v>
      </c>
      <c r="E94">
        <v>0.0239881</v>
      </c>
      <c r="F94" s="185">
        <f>D" + string(94) + " - (1.96 * E" + string(94) + ")</f>
      </c>
      <c r="G94" s="186">
        <f>D" + string(94) + " + (1.96 * E" + string(94) + ")</f>
      </c>
    </row>
    <row r="95">
      <c r="A95" t="s">
        <v>29</v>
      </c>
      <c r="B95" t="s">
        <v>14</v>
      </c>
      <c r="C95" t="s">
        <v>8</v>
      </c>
      <c r="D95">
        <v>0.0013496</v>
      </c>
      <c r="E95">
        <v>0.0033297</v>
      </c>
      <c r="F95" s="187">
        <f>D" + string(95) + " - (1.96 * E" + string(95) + ")</f>
      </c>
      <c r="G95" s="188">
        <f>D" + string(95) + " + (1.96 * E" + string(95) + ")</f>
      </c>
    </row>
    <row r="96">
      <c r="A96" t="s">
        <v>29</v>
      </c>
      <c r="B96" t="s">
        <v>14</v>
      </c>
      <c r="C96" t="s">
        <v>9</v>
      </c>
      <c r="D96">
        <v>0.000932</v>
      </c>
      <c r="E96">
        <v>0.0016061</v>
      </c>
      <c r="F96" s="189">
        <f>D" + string(96) + " - (1.96 * E" + string(96) + ")</f>
      </c>
      <c r="G96" s="190">
        <f>D" + string(96) + " + (1.96 * E" + string(96) + ")</f>
      </c>
    </row>
    <row r="97">
      <c r="A97" t="s">
        <v>29</v>
      </c>
      <c r="B97" t="s">
        <v>14</v>
      </c>
      <c r="C97" t="s">
        <v>10</v>
      </c>
      <c r="D97">
        <v>76.52043</v>
      </c>
      <c r="E97">
        <v>25.66091</v>
      </c>
      <c r="F97" s="191">
        <f>D" + string(97) + " - (1.96 * E" + string(97) + ")</f>
      </c>
      <c r="G97" s="192">
        <f>D" + string(97) + " + (1.96 * E" + string(97) + ")</f>
      </c>
    </row>
    <row r="98">
      <c r="A98" t="s">
        <v>29</v>
      </c>
      <c r="B98" t="s">
        <v>15</v>
      </c>
      <c r="C98" t="s">
        <v>7</v>
      </c>
      <c r="D98">
        <v>0.0513669</v>
      </c>
      <c r="E98">
        <v>0.0205778</v>
      </c>
      <c r="F98" s="193">
        <f>D" + string(98) + " - (1.96 * E" + string(98) + ")</f>
      </c>
      <c r="G98" s="194">
        <f>D" + string(98) + " + (1.96 * E" + string(98) + ")</f>
      </c>
    </row>
    <row r="99">
      <c r="A99" t="s">
        <v>29</v>
      </c>
      <c r="B99" t="s">
        <v>15</v>
      </c>
      <c r="C99" t="s">
        <v>8</v>
      </c>
      <c r="D99">
        <v>-0.0454982</v>
      </c>
      <c r="E99">
        <v>0.0159656</v>
      </c>
      <c r="F99" s="195">
        <f>D" + string(99) + " - (1.96 * E" + string(99) + ")</f>
      </c>
      <c r="G99" s="196">
        <f>D" + string(99) + " + (1.96 * E" + string(99) + ")</f>
      </c>
    </row>
    <row r="100">
      <c r="A100" t="s">
        <v>29</v>
      </c>
      <c r="B100" t="s">
        <v>15</v>
      </c>
      <c r="C100" t="s">
        <v>9</v>
      </c>
      <c r="D100">
        <v>-0.0117563</v>
      </c>
      <c r="E100">
        <v>0.008803</v>
      </c>
      <c r="F100" s="197">
        <f>D" + string(100) + " - (1.96 * E" + string(100) + ")</f>
      </c>
      <c r="G100" s="198">
        <f>D" + string(100) + " + (1.96 * E" + string(100) + ")</f>
      </c>
    </row>
    <row r="101">
      <c r="A101" t="s">
        <v>29</v>
      </c>
      <c r="B101" t="s">
        <v>15</v>
      </c>
      <c r="C101" t="s">
        <v>10</v>
      </c>
      <c r="D101">
        <v>52.81328</v>
      </c>
      <c r="E101">
        <v>26.84469</v>
      </c>
      <c r="F101" s="199">
        <f>D" + string(101) + " - (1.96 * E" + string(101) + ")</f>
      </c>
      <c r="G101" s="200">
        <f>D" + string(101) + " + (1.96 * E" + string(101) + ")</f>
      </c>
    </row>
    <row r="102">
      <c r="A102" t="s">
        <v>29</v>
      </c>
      <c r="B102" t="s">
        <v>16</v>
      </c>
      <c r="C102" t="s">
        <v>7</v>
      </c>
      <c r="D102">
        <v>0.0338353</v>
      </c>
      <c r="E102">
        <v>0.0519066</v>
      </c>
      <c r="F102" s="201">
        <f>D" + string(102) + " - (1.96 * E" + string(102) + ")</f>
      </c>
      <c r="G102" s="202">
        <f>D" + string(102) + " + (1.96 * E" + string(102) + ")</f>
      </c>
    </row>
    <row r="103">
      <c r="A103" t="s">
        <v>29</v>
      </c>
      <c r="B103" t="s">
        <v>16</v>
      </c>
      <c r="C103" t="s">
        <v>8</v>
      </c>
      <c r="D103">
        <v>-0.0604862</v>
      </c>
      <c r="E103">
        <v>0.0490117</v>
      </c>
      <c r="F103" s="203">
        <f>D" + string(103) + " - (1.96 * E" + string(103) + ")</f>
      </c>
      <c r="G103" s="204">
        <f>D" + string(103) + " + (1.96 * E" + string(103) + ")</f>
      </c>
    </row>
    <row r="104">
      <c r="A104" t="s">
        <v>29</v>
      </c>
      <c r="B104" t="s">
        <v>16</v>
      </c>
      <c r="C104" t="s">
        <v>9</v>
      </c>
      <c r="D104">
        <v>-0.0065056</v>
      </c>
      <c r="E104">
        <v>0.0138304</v>
      </c>
      <c r="F104" s="205">
        <f>D" + string(104) + " - (1.96 * E" + string(104) + ")</f>
      </c>
      <c r="G104" s="206">
        <f>D" + string(104) + " + (1.96 * E" + string(104) + ")</f>
      </c>
    </row>
    <row r="105">
      <c r="A105" t="s">
        <v>29</v>
      </c>
      <c r="B105" t="s">
        <v>16</v>
      </c>
      <c r="C105" t="s">
        <v>10</v>
      </c>
      <c r="D105">
        <v>14.37904</v>
      </c>
      <c r="E105">
        <v>4.489781</v>
      </c>
      <c r="F105" s="207">
        <f>D" + string(105) + " - (1.96 * E" + string(105) + ")</f>
      </c>
      <c r="G105" s="208">
        <f>D" + string(105) + " + (1.96 * E" + string(105) + ")</f>
      </c>
    </row>
    <row r="106">
      <c r="A106" t="s">
        <v>29</v>
      </c>
      <c r="B106" t="s">
        <v>30</v>
      </c>
      <c r="C106" t="s">
        <v>7</v>
      </c>
      <c r="D106">
        <v>0.0622988</v>
      </c>
      <c r="E106">
        <v>0.0438396</v>
      </c>
      <c r="F106" s="209">
        <f>D" + string(106) + " - (1.96 * E" + string(106) + ")</f>
      </c>
      <c r="G106" s="210">
        <f>D" + string(106) + " + (1.96 * E" + string(106) + ")</f>
      </c>
    </row>
    <row r="107">
      <c r="A107" t="s">
        <v>29</v>
      </c>
      <c r="B107" t="s">
        <v>30</v>
      </c>
      <c r="C107" t="s">
        <v>8</v>
      </c>
      <c r="D107">
        <v>-0.0183336</v>
      </c>
      <c r="E107">
        <v>0.0048906</v>
      </c>
      <c r="F107" s="211">
        <f>D" + string(107) + " - (1.96 * E" + string(107) + ")</f>
      </c>
      <c r="G107" s="212">
        <f>D" + string(107) + " + (1.96 * E" + string(107) + ")</f>
      </c>
    </row>
    <row r="108">
      <c r="A108" t="s">
        <v>29</v>
      </c>
      <c r="B108" t="s">
        <v>30</v>
      </c>
      <c r="C108" t="s">
        <v>9</v>
      </c>
      <c r="D108">
        <v>-0.0013829</v>
      </c>
      <c r="E108">
        <v>0.0041145</v>
      </c>
      <c r="F108" s="213">
        <f>D" + string(108) + " - (1.96 * E" + string(108) + ")</f>
      </c>
      <c r="G108" s="214">
        <f>D" + string(108) + " + (1.96 * E" + string(108) + ")</f>
      </c>
    </row>
    <row r="109">
      <c r="A109" t="s">
        <v>29</v>
      </c>
      <c r="B109" t="s">
        <v>30</v>
      </c>
      <c r="C109" t="s">
        <v>10</v>
      </c>
      <c r="D109">
        <v>7.287266</v>
      </c>
      <c r="E109">
        <v>5.087835</v>
      </c>
      <c r="F109" s="215">
        <f>D" + string(109) + " - (1.96 * E" + string(109) + ")</f>
      </c>
      <c r="G109" s="216">
        <f>D" + string(109) + " + (1.96 * E" + string(109) + ")</f>
      </c>
    </row>
    <row r="110">
      <c r="A110" t="s">
        <v>29</v>
      </c>
      <c r="B110" t="s">
        <v>17</v>
      </c>
      <c r="C110" t="s">
        <v>7</v>
      </c>
      <c r="D110">
        <v>0.017543</v>
      </c>
      <c r="E110">
        <v>0.0164827</v>
      </c>
      <c r="F110" s="217">
        <f>D" + string(110) + " - (1.96 * E" + string(110) + ")</f>
      </c>
      <c r="G110" s="218">
        <f>D" + string(110) + " + (1.96 * E" + string(110) + ")</f>
      </c>
    </row>
    <row r="111">
      <c r="A111" t="s">
        <v>29</v>
      </c>
      <c r="B111" t="s">
        <v>17</v>
      </c>
      <c r="C111" t="s">
        <v>8</v>
      </c>
      <c r="D111">
        <v>-0.0199111</v>
      </c>
      <c r="E111">
        <v>0.0060595</v>
      </c>
      <c r="F111" s="219">
        <f>D" + string(111) + " - (1.96 * E" + string(111) + ")</f>
      </c>
      <c r="G111" s="220">
        <f>D" + string(111) + " + (1.96 * E" + string(111) + ")</f>
      </c>
    </row>
    <row r="112">
      <c r="A112" t="s">
        <v>29</v>
      </c>
      <c r="B112" t="s">
        <v>17</v>
      </c>
      <c r="C112" t="s">
        <v>9</v>
      </c>
      <c r="D112">
        <v>-0.0058279</v>
      </c>
      <c r="E112">
        <v>0.0062442</v>
      </c>
      <c r="F112" s="221">
        <f>D" + string(112) + " - (1.96 * E" + string(112) + ")</f>
      </c>
      <c r="G112" s="222">
        <f>D" + string(112) + " + (1.96 * E" + string(112) + ")</f>
      </c>
    </row>
    <row r="113">
      <c r="A113" t="s">
        <v>29</v>
      </c>
      <c r="B113" t="s">
        <v>17</v>
      </c>
      <c r="C113" t="s">
        <v>10</v>
      </c>
      <c r="D113">
        <v>-23.33515</v>
      </c>
      <c r="E113">
        <v>26.16913</v>
      </c>
      <c r="F113" s="223">
        <f>D" + string(113) + " - (1.96 * E" + string(113) + ")</f>
      </c>
      <c r="G113" s="224">
        <f>D" + string(113) + " + (1.96 * E" + string(113) + ")</f>
      </c>
    </row>
    <row r="114">
      <c r="A114" t="s">
        <v>29</v>
      </c>
      <c r="B114" t="s">
        <v>18</v>
      </c>
      <c r="C114" t="s">
        <v>7</v>
      </c>
      <c r="D114">
        <v>0.0069077</v>
      </c>
      <c r="E114">
        <v>0.0124708</v>
      </c>
      <c r="F114" s="225">
        <f>D" + string(114) + " - (1.96 * E" + string(114) + ")</f>
      </c>
      <c r="G114" s="226">
        <f>D" + string(114) + " + (1.96 * E" + string(114) + ")</f>
      </c>
    </row>
    <row r="115">
      <c r="A115" t="s">
        <v>29</v>
      </c>
      <c r="B115" t="s">
        <v>18</v>
      </c>
      <c r="C115" t="s">
        <v>8</v>
      </c>
      <c r="D115">
        <v>-0.0104772</v>
      </c>
      <c r="E115">
        <v>0.0072556</v>
      </c>
      <c r="F115" s="227">
        <f>D" + string(115) + " - (1.96 * E" + string(115) + ")</f>
      </c>
      <c r="G115" s="228">
        <f>D" + string(115) + " + (1.96 * E" + string(115) + ")</f>
      </c>
    </row>
    <row r="116">
      <c r="A116" t="s">
        <v>29</v>
      </c>
      <c r="B116" t="s">
        <v>18</v>
      </c>
      <c r="C116" t="s">
        <v>9</v>
      </c>
      <c r="D116">
        <v>-0.0054934</v>
      </c>
      <c r="E116">
        <v>0.0008802</v>
      </c>
      <c r="F116" s="229">
        <f>D" + string(116) + " - (1.96 * E" + string(116) + ")</f>
      </c>
      <c r="G116" s="230">
        <f>D" + string(116) + " + (1.96 * E" + string(116) + ")</f>
      </c>
    </row>
    <row r="117">
      <c r="A117" t="s">
        <v>29</v>
      </c>
      <c r="B117" t="s">
        <v>18</v>
      </c>
      <c r="C117" t="s">
        <v>10</v>
      </c>
      <c r="D117">
        <v>9.329416</v>
      </c>
      <c r="E117">
        <v>7.514598</v>
      </c>
      <c r="F117" s="231">
        <f>D" + string(117) + " - (1.96 * E" + string(117) + ")</f>
      </c>
      <c r="G117" s="232">
        <f>D" + string(117) + " + (1.96 * E" + string(117) + ")</f>
      </c>
    </row>
    <row r="118">
      <c r="A118" t="s">
        <v>29</v>
      </c>
      <c r="B118" t="s">
        <v>19</v>
      </c>
      <c r="C118" t="s">
        <v>7</v>
      </c>
      <c r="D118">
        <v>-0.0127142</v>
      </c>
      <c r="E118">
        <v>0.0080955</v>
      </c>
      <c r="F118" s="233">
        <f>D" + string(118) + " - (1.96 * E" + string(118) + ")</f>
      </c>
      <c r="G118" s="234">
        <f>D" + string(118) + " + (1.96 * E" + string(118) + ")</f>
      </c>
    </row>
    <row r="119">
      <c r="A119" t="s">
        <v>29</v>
      </c>
      <c r="B119" t="s">
        <v>19</v>
      </c>
      <c r="C119" t="s">
        <v>8</v>
      </c>
      <c r="D119">
        <v>0.0005145</v>
      </c>
      <c r="E119">
        <v>0.0060016</v>
      </c>
      <c r="F119" s="235">
        <f>D" + string(119) + " - (1.96 * E" + string(119) + ")</f>
      </c>
      <c r="G119" s="236">
        <f>D" + string(119) + " + (1.96 * E" + string(119) + ")</f>
      </c>
    </row>
    <row r="120">
      <c r="A120" t="s">
        <v>29</v>
      </c>
      <c r="B120" t="s">
        <v>19</v>
      </c>
      <c r="C120" t="s">
        <v>9</v>
      </c>
      <c r="D120">
        <v>0.0004406</v>
      </c>
      <c r="E120">
        <v>0.0051533</v>
      </c>
      <c r="F120" s="237">
        <f>D" + string(120) + " - (1.96 * E" + string(120) + ")</f>
      </c>
      <c r="G120" s="238">
        <f>D" + string(120) + " + (1.96 * E" + string(120) + ")</f>
      </c>
    </row>
    <row r="121">
      <c r="A121" t="s">
        <v>29</v>
      </c>
      <c r="B121" t="s">
        <v>19</v>
      </c>
      <c r="C121" t="s">
        <v>10</v>
      </c>
      <c r="D121">
        <v>16.6911</v>
      </c>
      <c r="E121">
        <v>81.19280000000001</v>
      </c>
      <c r="F121" s="239">
        <f>D" + string(121) + " - (1.96 * E" + string(121) + ")</f>
      </c>
      <c r="G121" s="240">
        <f>D" + string(121) + " + (1.96 * E" + string(121) + ")</f>
      </c>
    </row>
    <row r="122">
      <c r="A122" t="s">
        <v>29</v>
      </c>
      <c r="B122" t="s">
        <v>20</v>
      </c>
      <c r="C122" t="s">
        <v>7</v>
      </c>
      <c r="D122">
        <v>0.0004253</v>
      </c>
      <c r="E122">
        <v>0.0292642</v>
      </c>
      <c r="F122" s="241">
        <f>D" + string(122) + " - (1.96 * E" + string(122) + ")</f>
      </c>
      <c r="G122" s="242">
        <f>D" + string(122) + " + (1.96 * E" + string(122) + ")</f>
      </c>
    </row>
    <row r="123">
      <c r="A123" t="s">
        <v>29</v>
      </c>
      <c r="B123" t="s">
        <v>20</v>
      </c>
      <c r="C123" t="s">
        <v>8</v>
      </c>
      <c r="D123">
        <v>-0.016685</v>
      </c>
      <c r="E123">
        <v>0.0069239</v>
      </c>
      <c r="F123" s="243">
        <f>D" + string(123) + " - (1.96 * E" + string(123) + ")</f>
      </c>
      <c r="G123" s="244">
        <f>D" + string(123) + " + (1.96 * E" + string(123) + ")</f>
      </c>
    </row>
    <row r="124">
      <c r="A124" t="s">
        <v>29</v>
      </c>
      <c r="B124" t="s">
        <v>20</v>
      </c>
      <c r="C124" t="s">
        <v>9</v>
      </c>
      <c r="D124">
        <v>-0.007815300000000001</v>
      </c>
      <c r="E124">
        <v>0.0047588</v>
      </c>
      <c r="F124" s="245">
        <f>D" + string(124) + " - (1.96 * E" + string(124) + ")</f>
      </c>
      <c r="G124" s="246">
        <f>D" + string(124) + " + (1.96 * E" + string(124) + ")</f>
      </c>
    </row>
    <row r="125">
      <c r="A125" t="s">
        <v>29</v>
      </c>
      <c r="B125" t="s">
        <v>20</v>
      </c>
      <c r="C125" t="s">
        <v>10</v>
      </c>
      <c r="D125">
        <v>-5.723893</v>
      </c>
      <c r="E125">
        <v>9.566907</v>
      </c>
      <c r="F125" s="247">
        <f>D" + string(125) + " - (1.96 * E" + string(125) + ")</f>
      </c>
      <c r="G125" s="248">
        <f>D" + string(125) + " + (1.96 * E" + string(125) + ")</f>
      </c>
    </row>
    <row r="126">
      <c r="A126" t="s">
        <v>29</v>
      </c>
      <c r="B126" t="s">
        <v>21</v>
      </c>
      <c r="C126" t="s">
        <v>7</v>
      </c>
      <c r="D126">
        <v>0.0672938</v>
      </c>
      <c r="E126">
        <v>0.0804354</v>
      </c>
      <c r="F126" s="249">
        <f>D" + string(126) + " - (1.96 * E" + string(126) + ")</f>
      </c>
      <c r="G126" s="250">
        <f>D" + string(126) + " + (1.96 * E" + string(126) + ")</f>
      </c>
    </row>
    <row r="127">
      <c r="A127" t="s">
        <v>29</v>
      </c>
      <c r="B127" t="s">
        <v>21</v>
      </c>
      <c r="C127" t="s">
        <v>8</v>
      </c>
      <c r="D127">
        <v>0.011866</v>
      </c>
      <c r="E127">
        <v>0.0717173</v>
      </c>
      <c r="F127" s="251">
        <f>D" + string(127) + " - (1.96 * E" + string(127) + ")</f>
      </c>
      <c r="G127" s="252">
        <f>D" + string(127) + " + (1.96 * E" + string(127) + ")</f>
      </c>
    </row>
    <row r="128">
      <c r="A128" t="s">
        <v>29</v>
      </c>
      <c r="B128" t="s">
        <v>21</v>
      </c>
      <c r="C128" t="s">
        <v>9</v>
      </c>
      <c r="D128">
        <v>-0.0041914</v>
      </c>
      <c r="E128">
        <v>0.0158767</v>
      </c>
      <c r="F128" s="253">
        <f>D" + string(128) + " - (1.96 * E" + string(128) + ")</f>
      </c>
      <c r="G128" s="254">
        <f>D" + string(128) + " + (1.96 * E" + string(128) + ")</f>
      </c>
    </row>
    <row r="129">
      <c r="A129" t="s">
        <v>29</v>
      </c>
      <c r="B129" t="s">
        <v>21</v>
      </c>
      <c r="C129" t="s">
        <v>10</v>
      </c>
      <c r="D129">
        <v>31.91029</v>
      </c>
      <c r="E129">
        <v>21.68116</v>
      </c>
      <c r="F129" s="255">
        <f>D" + string(129) + " - (1.96 * E" + string(129) + ")</f>
      </c>
      <c r="G129" s="256">
        <f>D" + string(129) + " + (1.96 * E" + string(129) + ")</f>
      </c>
    </row>
    <row r="130">
      <c r="A130" t="s">
        <v>29</v>
      </c>
      <c r="B130" t="s">
        <v>22</v>
      </c>
      <c r="C130" t="s">
        <v>7</v>
      </c>
      <c r="D130">
        <v>0.0227935</v>
      </c>
      <c r="E130">
        <v>0.0331379</v>
      </c>
      <c r="F130" s="257">
        <f>D" + string(130) + " - (1.96 * E" + string(130) + ")</f>
      </c>
      <c r="G130" s="258">
        <f>D" + string(130) + " + (1.96 * E" + string(130) + ")</f>
      </c>
    </row>
    <row r="131">
      <c r="A131" t="s">
        <v>29</v>
      </c>
      <c r="B131" t="s">
        <v>22</v>
      </c>
      <c r="C131" t="s">
        <v>8</v>
      </c>
      <c r="D131">
        <v>-0.0099738</v>
      </c>
      <c r="E131">
        <v>0.0039412</v>
      </c>
      <c r="F131" s="259">
        <f>D" + string(131) + " - (1.96 * E" + string(131) + ")</f>
      </c>
      <c r="G131" s="260">
        <f>D" + string(131) + " + (1.96 * E" + string(131) + ")</f>
      </c>
    </row>
    <row r="132">
      <c r="A132" t="s">
        <v>29</v>
      </c>
      <c r="B132" t="s">
        <v>22</v>
      </c>
      <c r="C132" t="s">
        <v>9</v>
      </c>
      <c r="D132">
        <v>-0.0054486</v>
      </c>
      <c r="E132">
        <v>0.0016783</v>
      </c>
      <c r="F132" s="261">
        <f>D" + string(132) + " - (1.96 * E" + string(132) + ")</f>
      </c>
      <c r="G132" s="262">
        <f>D" + string(132) + " + (1.96 * E" + string(132) + ")</f>
      </c>
    </row>
    <row r="133">
      <c r="A133" t="s">
        <v>29</v>
      </c>
      <c r="B133" t="s">
        <v>22</v>
      </c>
      <c r="C133" t="s">
        <v>10</v>
      </c>
      <c r="D133">
        <v>-21.67046</v>
      </c>
      <c r="E133">
        <v>8.470132</v>
      </c>
      <c r="F133" s="263">
        <f>D" + string(133) + " - (1.96 * E" + string(133) + ")</f>
      </c>
      <c r="G133" s="264">
        <f>D" + string(133) + " + (1.96 * E" + string(133) + ")</f>
      </c>
    </row>
    <row r="134">
      <c r="A134" t="s">
        <v>29</v>
      </c>
      <c r="B134" t="s">
        <v>31</v>
      </c>
      <c r="C134" t="s">
        <v>7</v>
      </c>
      <c r="D134">
        <v>-0.0535104</v>
      </c>
      <c r="E134">
        <v>0.0596315</v>
      </c>
      <c r="F134" s="265">
        <f>D" + string(134) + " - (1.96 * E" + string(134) + ")</f>
      </c>
      <c r="G134" s="266">
        <f>D" + string(134) + " + (1.96 * E" + string(134) + ")</f>
      </c>
    </row>
    <row r="135">
      <c r="A135" t="s">
        <v>29</v>
      </c>
      <c r="B135" t="s">
        <v>31</v>
      </c>
      <c r="C135" t="s">
        <v>8</v>
      </c>
      <c r="D135">
        <v>0.0099046</v>
      </c>
      <c r="E135">
        <v>0.0185023</v>
      </c>
      <c r="F135" s="267">
        <f>D" + string(135) + " - (1.96 * E" + string(135) + ")</f>
      </c>
      <c r="G135" s="268">
        <f>D" + string(135) + " + (1.96 * E" + string(135) + ")</f>
      </c>
    </row>
    <row r="136">
      <c r="A136" t="s">
        <v>29</v>
      </c>
      <c r="B136" t="s">
        <v>31</v>
      </c>
      <c r="C136" t="s">
        <v>9</v>
      </c>
      <c r="D136">
        <v>0.0012772</v>
      </c>
      <c r="E136">
        <v>0.0097229</v>
      </c>
      <c r="F136" s="269">
        <f>D" + string(136) + " - (1.96 * E" + string(136) + ")</f>
      </c>
      <c r="G136" s="270">
        <f>D" + string(136) + " + (1.96 * E" + string(136) + ")</f>
      </c>
    </row>
    <row r="137">
      <c r="A137" t="s">
        <v>29</v>
      </c>
      <c r="B137" t="s">
        <v>31</v>
      </c>
      <c r="C137" t="s">
        <v>10</v>
      </c>
      <c r="D137">
        <v>-3.8807</v>
      </c>
      <c r="E137">
        <v>3.927516</v>
      </c>
      <c r="F137" s="271">
        <f>D" + string(137) + " - (1.96 * E" + string(137) + ")</f>
      </c>
      <c r="G137" s="272">
        <f>D" + string(137) + " + (1.96 * E" + string(137) + ")</f>
      </c>
    </row>
    <row r="138">
      <c r="A138" t="s">
        <v>29</v>
      </c>
      <c r="B138" t="s">
        <v>23</v>
      </c>
      <c r="C138" t="s">
        <v>7</v>
      </c>
      <c r="D138">
        <v>-0.006108</v>
      </c>
      <c r="E138">
        <v>0.0255387</v>
      </c>
      <c r="F138" s="273">
        <f>D" + string(138) + " - (1.96 * E" + string(138) + ")</f>
      </c>
      <c r="G138" s="274">
        <f>D" + string(138) + " + (1.96 * E" + string(138) + ")</f>
      </c>
    </row>
    <row r="139">
      <c r="A139" t="s">
        <v>29</v>
      </c>
      <c r="B139" t="s">
        <v>23</v>
      </c>
      <c r="C139" t="s">
        <v>8</v>
      </c>
      <c r="D139">
        <v>0.0021763</v>
      </c>
      <c r="E139">
        <v>0.0104455</v>
      </c>
      <c r="F139" s="275">
        <f>D" + string(139) + " - (1.96 * E" + string(139) + ")</f>
      </c>
      <c r="G139" s="276">
        <f>D" + string(139) + " + (1.96 * E" + string(139) + ")</f>
      </c>
    </row>
    <row r="140">
      <c r="A140" t="s">
        <v>29</v>
      </c>
      <c r="B140" t="s">
        <v>23</v>
      </c>
      <c r="C140" t="s">
        <v>9</v>
      </c>
      <c r="D140">
        <v>-0.0026981</v>
      </c>
      <c r="E140">
        <v>0.0060568</v>
      </c>
      <c r="F140" s="277">
        <f>D" + string(140) + " - (1.96 * E" + string(140) + ")</f>
      </c>
      <c r="G140" s="278">
        <f>D" + string(140) + " + (1.96 * E" + string(140) + ")</f>
      </c>
    </row>
    <row r="141">
      <c r="A141" t="s">
        <v>29</v>
      </c>
      <c r="B141" t="s">
        <v>23</v>
      </c>
      <c r="C141" t="s">
        <v>10</v>
      </c>
      <c r="D141">
        <v>7.756294</v>
      </c>
      <c r="E141">
        <v>23.19778</v>
      </c>
      <c r="F141" s="279">
        <f>D" + string(141) + " - (1.96 * E" + string(141) + ")</f>
      </c>
      <c r="G141" s="280">
        <f>D" + string(141) + " + (1.96 * E" + string(141) + ")</f>
      </c>
    </row>
    <row r="142">
      <c r="A142" t="s">
        <v>29</v>
      </c>
      <c r="B142" t="s">
        <v>24</v>
      </c>
      <c r="C142" t="s">
        <v>7</v>
      </c>
      <c r="D142">
        <v>-0.0020945</v>
      </c>
      <c r="E142">
        <v>0.0141997</v>
      </c>
      <c r="F142" s="281">
        <f>D" + string(142) + " - (1.96 * E" + string(142) + ")</f>
      </c>
      <c r="G142" s="282">
        <f>D" + string(142) + " + (1.96 * E" + string(142) + ")</f>
      </c>
    </row>
    <row r="143">
      <c r="A143" t="s">
        <v>29</v>
      </c>
      <c r="B143" t="s">
        <v>24</v>
      </c>
      <c r="C143" t="s">
        <v>8</v>
      </c>
      <c r="D143">
        <v>-0.0042962</v>
      </c>
      <c r="E143">
        <v>0.0098596</v>
      </c>
      <c r="F143" s="283">
        <f>D" + string(143) + " - (1.96 * E" + string(143) + ")</f>
      </c>
      <c r="G143" s="284">
        <f>D" + string(143) + " + (1.96 * E" + string(143) + ")</f>
      </c>
    </row>
    <row r="144">
      <c r="A144" t="s">
        <v>29</v>
      </c>
      <c r="B144" t="s">
        <v>24</v>
      </c>
      <c r="C144" t="s">
        <v>9</v>
      </c>
      <c r="D144">
        <v>-0.0025813</v>
      </c>
      <c r="E144">
        <v>0.0041237</v>
      </c>
      <c r="F144" s="285">
        <f>D" + string(144) + " - (1.96 * E" + string(144) + ")</f>
      </c>
      <c r="G144" s="286">
        <f>D" + string(144) + " + (1.96 * E" + string(144) + ")</f>
      </c>
    </row>
    <row r="145">
      <c r="A145" t="s">
        <v>29</v>
      </c>
      <c r="B145" t="s">
        <v>24</v>
      </c>
      <c r="C145" t="s">
        <v>10</v>
      </c>
      <c r="D145">
        <v>298.4915</v>
      </c>
      <c r="E145">
        <v>179.5545</v>
      </c>
      <c r="F145" s="287">
        <f>D" + string(145) + " - (1.96 * E" + string(145) + ")</f>
      </c>
      <c r="G145" s="288">
        <f>D" + string(145) + " + (1.96 * E" + string(145) + ")</f>
      </c>
    </row>
    <row r="146">
      <c r="A146" t="s">
        <v>29</v>
      </c>
      <c r="B146" t="s">
        <v>25</v>
      </c>
      <c r="C146" t="s">
        <v>7</v>
      </c>
      <c r="D146">
        <v>0.0022641</v>
      </c>
      <c r="E146">
        <v>0.0174564</v>
      </c>
      <c r="F146" s="289">
        <f>D" + string(146) + " - (1.96 * E" + string(146) + ")</f>
      </c>
      <c r="G146" s="290">
        <f>D" + string(146) + " + (1.96 * E" + string(146) + ")</f>
      </c>
    </row>
    <row r="147">
      <c r="A147" t="s">
        <v>29</v>
      </c>
      <c r="B147" t="s">
        <v>25</v>
      </c>
      <c r="C147" t="s">
        <v>8</v>
      </c>
      <c r="D147">
        <v>-0.0100104</v>
      </c>
      <c r="E147">
        <v>0.0042615</v>
      </c>
      <c r="F147" s="291">
        <f>D" + string(147) + " - (1.96 * E" + string(147) + ")</f>
      </c>
      <c r="G147" s="292">
        <f>D" + string(147) + " + (1.96 * E" + string(147) + ")</f>
      </c>
    </row>
    <row r="148">
      <c r="A148" t="s">
        <v>29</v>
      </c>
      <c r="B148" t="s">
        <v>25</v>
      </c>
      <c r="C148" t="s">
        <v>9</v>
      </c>
      <c r="D148">
        <v>-0.0047116</v>
      </c>
      <c r="E148">
        <v>0.0015643</v>
      </c>
      <c r="F148" s="293">
        <f>D" + string(148) + " - (1.96 * E" + string(148) + ")</f>
      </c>
      <c r="G148" s="294">
        <f>D" + string(148) + " + (1.96 * E" + string(148) + ")</f>
      </c>
    </row>
    <row r="149">
      <c r="A149" t="s">
        <v>29</v>
      </c>
      <c r="B149" t="s">
        <v>25</v>
      </c>
      <c r="C149" t="s">
        <v>10</v>
      </c>
      <c r="D149">
        <v>-7.511569</v>
      </c>
      <c r="E149">
        <v>28.08585</v>
      </c>
      <c r="F149" s="295">
        <f>D" + string(149) + " - (1.96 * E" + string(149) + ")</f>
      </c>
      <c r="G149" s="296">
        <f>D" + string(149) + " + (1.96 * E" + string(149) + ")</f>
      </c>
    </row>
    <row r="150">
      <c r="A150" t="s">
        <v>29</v>
      </c>
      <c r="B150" t="s">
        <v>26</v>
      </c>
      <c r="C150" t="s">
        <v>7</v>
      </c>
      <c r="D150">
        <v>0.0413696</v>
      </c>
      <c r="E150">
        <v>0.0172687</v>
      </c>
      <c r="F150" s="297">
        <f>D" + string(150) + " - (1.96 * E" + string(150) + ")</f>
      </c>
      <c r="G150" s="298">
        <f>D" + string(150) + " + (1.96 * E" + string(150) + ")</f>
      </c>
    </row>
    <row r="151">
      <c r="A151" t="s">
        <v>29</v>
      </c>
      <c r="B151" t="s">
        <v>26</v>
      </c>
      <c r="C151" t="s">
        <v>8</v>
      </c>
      <c r="D151">
        <v>0.0358727</v>
      </c>
      <c r="E151">
        <v>0.0289008</v>
      </c>
      <c r="F151" s="299">
        <f>D" + string(151) + " - (1.96 * E" + string(151) + ")</f>
      </c>
      <c r="G151" s="300">
        <f>D" + string(151) + " + (1.96 * E" + string(151) + ")</f>
      </c>
    </row>
    <row r="152">
      <c r="A152" t="s">
        <v>29</v>
      </c>
      <c r="B152" t="s">
        <v>26</v>
      </c>
      <c r="C152" t="s">
        <v>9</v>
      </c>
      <c r="D152">
        <v>-0.0026892</v>
      </c>
      <c r="E152">
        <v>0.005362</v>
      </c>
      <c r="F152" s="301">
        <f>D" + string(152) + " - (1.96 * E" + string(152) + ")</f>
      </c>
      <c r="G152" s="302">
        <f>D" + string(152) + " + (1.96 * E" + string(152) + ")</f>
      </c>
    </row>
    <row r="153">
      <c r="A153" t="s">
        <v>29</v>
      </c>
      <c r="B153" t="s">
        <v>26</v>
      </c>
      <c r="C153" t="s">
        <v>10</v>
      </c>
      <c r="D153">
        <v>20.21389</v>
      </c>
      <c r="E153">
        <v>28.8645</v>
      </c>
      <c r="F153" s="303">
        <f>D" + string(153) + " - (1.96 * E" + string(153) + ")</f>
      </c>
      <c r="G153" s="304">
        <f>D" + string(153) + " + (1.96 * E" + string(153) + ")</f>
      </c>
    </row>
    <row r="154">
      <c r="A154" t="s">
        <v>29</v>
      </c>
      <c r="B154" t="s">
        <v>27</v>
      </c>
      <c r="C154" t="s">
        <v>7</v>
      </c>
      <c r="D154">
        <v>0.0074551</v>
      </c>
      <c r="E154">
        <v>0.0134414</v>
      </c>
      <c r="F154" s="305">
        <f>D" + string(154) + " - (1.96 * E" + string(154) + ")</f>
      </c>
      <c r="G154" s="306">
        <f>D" + string(154) + " + (1.96 * E" + string(154) + ")</f>
      </c>
    </row>
    <row r="155">
      <c r="A155" t="s">
        <v>29</v>
      </c>
      <c r="B155" t="s">
        <v>27</v>
      </c>
      <c r="C155" t="s">
        <v>8</v>
      </c>
      <c r="D155">
        <v>-0.0045709</v>
      </c>
      <c r="E155">
        <v>0.009152800000000001</v>
      </c>
      <c r="F155" s="307">
        <f>D" + string(155) + " - (1.96 * E" + string(155) + ")</f>
      </c>
      <c r="G155" s="308">
        <f>D" + string(155) + " + (1.96 * E" + string(155) + ")</f>
      </c>
    </row>
    <row r="156">
      <c r="A156" t="s">
        <v>29</v>
      </c>
      <c r="B156" t="s">
        <v>27</v>
      </c>
      <c r="C156" t="s">
        <v>9</v>
      </c>
      <c r="D156">
        <v>-0.0049012</v>
      </c>
      <c r="E156">
        <v>0.0025864</v>
      </c>
      <c r="F156" s="309">
        <f>D" + string(156) + " - (1.96 * E" + string(156) + ")</f>
      </c>
      <c r="G156" s="310">
        <f>D" + string(156) + " + (1.96 * E" + string(156) + ")</f>
      </c>
    </row>
    <row r="157">
      <c r="A157" t="s">
        <v>29</v>
      </c>
      <c r="B157" t="s">
        <v>27</v>
      </c>
      <c r="C157" t="s">
        <v>10</v>
      </c>
      <c r="D157">
        <v>55.85774</v>
      </c>
      <c r="E157">
        <v>50.35198</v>
      </c>
      <c r="F157" s="311">
        <f>D" + string(157) + " - (1.96 * E" + string(157) + ")</f>
      </c>
      <c r="G157" s="312">
        <f>D" + string(157) + " + (1.96 * E" + string(157) + ")</f>
      </c>
    </row>
    <row r="158">
      <c r="A158" t="s">
        <v>29</v>
      </c>
      <c r="B158" t="s">
        <v>28</v>
      </c>
      <c r="C158" t="s">
        <v>7</v>
      </c>
      <c r="D158">
        <v>-0.020922</v>
      </c>
      <c r="E158">
        <v>0.0173501</v>
      </c>
      <c r="F158" s="313">
        <f>D" + string(158) + " - (1.96 * E" + string(158) + ")</f>
      </c>
      <c r="G158" s="314">
        <f>D" + string(158) + " + (1.96 * E" + string(158) + ")</f>
      </c>
    </row>
    <row r="159">
      <c r="A159" t="s">
        <v>29</v>
      </c>
      <c r="B159" t="s">
        <v>28</v>
      </c>
      <c r="C159" t="s">
        <v>8</v>
      </c>
      <c r="D159">
        <v>-0.000659</v>
      </c>
      <c r="E159">
        <v>0.002263</v>
      </c>
      <c r="F159" s="315">
        <f>D" + string(159) + " - (1.96 * E" + string(159) + ")</f>
      </c>
      <c r="G159" s="316">
        <f>D" + string(159) + " + (1.96 * E" + string(159) + ")</f>
      </c>
    </row>
    <row r="160">
      <c r="A160" t="s">
        <v>29</v>
      </c>
      <c r="B160" t="s">
        <v>28</v>
      </c>
      <c r="C160" t="s">
        <v>9</v>
      </c>
      <c r="D160">
        <v>0.0027304</v>
      </c>
      <c r="E160">
        <v>0.0023791</v>
      </c>
      <c r="F160" s="317">
        <f>D" + string(160) + " - (1.96 * E" + string(160) + ")</f>
      </c>
      <c r="G160" s="318">
        <f>D" + string(160) + " + (1.96 * E" + string(160) + ")</f>
      </c>
    </row>
    <row r="161">
      <c r="A161" t="s">
        <v>29</v>
      </c>
      <c r="B161" t="s">
        <v>28</v>
      </c>
      <c r="C161" t="s">
        <v>10</v>
      </c>
      <c r="D161">
        <v>1.087627</v>
      </c>
      <c r="E161">
        <v>16.30396</v>
      </c>
      <c r="F161" s="319">
        <f>D" + string(161) + " - (1.96 * E" + string(161) + ")</f>
      </c>
      <c r="G161" s="320">
        <f>D" + string(161) + " + (1.96 * E" + string(161) + ")</f>
      </c>
    </row>
    <row r="162">
      <c r="A162" t="s">
        <v>32</v>
      </c>
      <c r="B162" t="s">
        <v>6</v>
      </c>
      <c r="C162" t="s">
        <v>7</v>
      </c>
      <c r="D162">
        <v>0.0125487</v>
      </c>
      <c r="E162">
        <v>0.006193</v>
      </c>
      <c r="F162" s="321">
        <f>D" + string(162) + " - (1.96 * E" + string(162) + ")</f>
      </c>
      <c r="G162" s="322">
        <f>D" + string(162) + " + (1.96 * E" + string(162) + ")</f>
      </c>
    </row>
    <row r="163">
      <c r="A163" t="s">
        <v>32</v>
      </c>
      <c r="B163" t="s">
        <v>6</v>
      </c>
      <c r="C163" t="s">
        <v>8</v>
      </c>
      <c r="D163">
        <v>-0.0021198</v>
      </c>
      <c r="E163">
        <v>0.003637</v>
      </c>
      <c r="F163" s="323">
        <f>D" + string(163) + " - (1.96 * E" + string(163) + ")</f>
      </c>
      <c r="G163" s="324">
        <f>D" + string(163) + " + (1.96 * E" + string(163) + ")</f>
      </c>
    </row>
    <row r="164">
      <c r="A164" t="s">
        <v>32</v>
      </c>
      <c r="B164" t="s">
        <v>6</v>
      </c>
      <c r="C164" t="s">
        <v>9</v>
      </c>
      <c r="D164">
        <v>-0.0031363</v>
      </c>
      <c r="E164">
        <v>0.0013638</v>
      </c>
      <c r="F164" s="325">
        <f>D" + string(164) + " - (1.96 * E" + string(164) + ")</f>
      </c>
      <c r="G164" s="326">
        <f>D" + string(164) + " + (1.96 * E" + string(164) + ")</f>
      </c>
    </row>
    <row r="165">
      <c r="A165" t="s">
        <v>32</v>
      </c>
      <c r="B165" t="s">
        <v>6</v>
      </c>
      <c r="C165" t="s">
        <v>10</v>
      </c>
      <c r="D165">
        <v>-87.91598</v>
      </c>
      <c r="E165">
        <v>70.15436</v>
      </c>
      <c r="F165" s="327">
        <f>D" + string(165) + " - (1.96 * E" + string(165) + ")</f>
      </c>
      <c r="G165" s="328">
        <f>D" + string(165) + " + (1.96 * E" + string(165) + ")</f>
      </c>
    </row>
    <row r="166">
      <c r="A166" t="s">
        <v>32</v>
      </c>
      <c r="B166" t="s">
        <v>11</v>
      </c>
      <c r="C166" t="s">
        <v>7</v>
      </c>
      <c r="D166">
        <v>0.0198715</v>
      </c>
      <c r="E166">
        <v>0.007222</v>
      </c>
      <c r="F166" s="329">
        <f>D" + string(166) + " - (1.96 * E" + string(166) + ")</f>
      </c>
      <c r="G166" s="330">
        <f>D" + string(166) + " + (1.96 * E" + string(166) + ")</f>
      </c>
    </row>
    <row r="167">
      <c r="A167" t="s">
        <v>32</v>
      </c>
      <c r="B167" t="s">
        <v>11</v>
      </c>
      <c r="C167" t="s">
        <v>8</v>
      </c>
      <c r="D167">
        <v>0.0043063</v>
      </c>
      <c r="E167">
        <v>0.0037469</v>
      </c>
      <c r="F167" s="331">
        <f>D" + string(167) + " - (1.96 * E" + string(167) + ")</f>
      </c>
      <c r="G167" s="332">
        <f>D" + string(167) + " + (1.96 * E" + string(167) + ")</f>
      </c>
    </row>
    <row r="168">
      <c r="A168" t="s">
        <v>32</v>
      </c>
      <c r="B168" t="s">
        <v>11</v>
      </c>
      <c r="C168" t="s">
        <v>9</v>
      </c>
      <c r="D168">
        <v>0.0012557</v>
      </c>
      <c r="E168">
        <v>0.001653</v>
      </c>
      <c r="F168" s="333">
        <f>D" + string(168) + " - (1.96 * E" + string(168) + ")</f>
      </c>
      <c r="G168" s="334">
        <f>D" + string(168) + " + (1.96 * E" + string(168) + ")</f>
      </c>
    </row>
    <row r="169">
      <c r="A169" t="s">
        <v>32</v>
      </c>
      <c r="B169" t="s">
        <v>11</v>
      </c>
      <c r="C169" t="s">
        <v>10</v>
      </c>
      <c r="D169">
        <v>-78.79703000000001</v>
      </c>
      <c r="E169">
        <v>101.1032</v>
      </c>
      <c r="F169" s="335">
        <f>D" + string(169) + " - (1.96 * E" + string(169) + ")</f>
      </c>
      <c r="G169" s="336">
        <f>D" + string(169) + " + (1.96 * E" + string(169) + ")</f>
      </c>
    </row>
    <row r="170">
      <c r="A170" t="s">
        <v>32</v>
      </c>
      <c r="B170" t="s">
        <v>12</v>
      </c>
      <c r="C170" t="s">
        <v>7</v>
      </c>
      <c r="D170">
        <v>-0.0164695</v>
      </c>
      <c r="E170">
        <v>0.0126051</v>
      </c>
      <c r="F170" s="337">
        <f>D" + string(170) + " - (1.96 * E" + string(170) + ")</f>
      </c>
      <c r="G170" s="338">
        <f>D" + string(170) + " + (1.96 * E" + string(170) + ")</f>
      </c>
    </row>
    <row r="171">
      <c r="A171" t="s">
        <v>32</v>
      </c>
      <c r="B171" t="s">
        <v>12</v>
      </c>
      <c r="C171" t="s">
        <v>8</v>
      </c>
      <c r="D171">
        <v>0.0177201</v>
      </c>
      <c r="E171">
        <v>0.0038291</v>
      </c>
      <c r="F171" s="339">
        <f>D" + string(171) + " - (1.96 * E" + string(171) + ")</f>
      </c>
      <c r="G171" s="340">
        <f>D" + string(171) + " + (1.96 * E" + string(171) + ")</f>
      </c>
    </row>
    <row r="172">
      <c r="A172" t="s">
        <v>32</v>
      </c>
      <c r="B172" t="s">
        <v>12</v>
      </c>
      <c r="C172" t="s">
        <v>9</v>
      </c>
      <c r="D172">
        <v>0.0039643</v>
      </c>
      <c r="E172">
        <v>0.00145</v>
      </c>
      <c r="F172" s="341">
        <f>D" + string(172) + " - (1.96 * E" + string(172) + ")</f>
      </c>
      <c r="G172" s="342">
        <f>D" + string(172) + " + (1.96 * E" + string(172) + ")</f>
      </c>
    </row>
    <row r="173">
      <c r="A173" t="s">
        <v>32</v>
      </c>
      <c r="B173" t="s">
        <v>12</v>
      </c>
      <c r="C173" t="s">
        <v>10</v>
      </c>
      <c r="D173">
        <v>-51.60411</v>
      </c>
      <c r="E173">
        <v>56.93738</v>
      </c>
      <c r="F173" s="343">
        <f>D" + string(173) + " - (1.96 * E" + string(173) + ")</f>
      </c>
      <c r="G173" s="344">
        <f>D" + string(173) + " + (1.96 * E" + string(173) + ")</f>
      </c>
    </row>
    <row r="174">
      <c r="A174" t="s">
        <v>32</v>
      </c>
      <c r="B174" t="s">
        <v>13</v>
      </c>
      <c r="C174" t="s">
        <v>7</v>
      </c>
      <c r="D174">
        <v>-0.04355</v>
      </c>
      <c r="E174">
        <v>0.0109796</v>
      </c>
      <c r="F174" s="345">
        <f>D" + string(174) + " - (1.96 * E" + string(174) + ")</f>
      </c>
      <c r="G174" s="346">
        <f>D" + string(174) + " + (1.96 * E" + string(174) + ")</f>
      </c>
    </row>
    <row r="175">
      <c r="A175" t="s">
        <v>32</v>
      </c>
      <c r="B175" t="s">
        <v>13</v>
      </c>
      <c r="C175" t="s">
        <v>8</v>
      </c>
      <c r="D175">
        <v>0.0019964</v>
      </c>
      <c r="E175">
        <v>0.0032965</v>
      </c>
      <c r="F175" s="347">
        <f>D" + string(175) + " - (1.96 * E" + string(175) + ")</f>
      </c>
      <c r="G175" s="348">
        <f>D" + string(175) + " + (1.96 * E" + string(175) + ")</f>
      </c>
    </row>
    <row r="176">
      <c r="A176" t="s">
        <v>32</v>
      </c>
      <c r="B176" t="s">
        <v>13</v>
      </c>
      <c r="C176" t="s">
        <v>9</v>
      </c>
      <c r="D176">
        <v>0.0001847</v>
      </c>
      <c r="E176">
        <v>0.0023451</v>
      </c>
      <c r="F176" s="349">
        <f>D" + string(176) + " - (1.96 * E" + string(176) + ")</f>
      </c>
      <c r="G176" s="350">
        <f>D" + string(176) + " + (1.96 * E" + string(176) + ")</f>
      </c>
    </row>
    <row r="177">
      <c r="A177" t="s">
        <v>32</v>
      </c>
      <c r="B177" t="s">
        <v>13</v>
      </c>
      <c r="C177" t="s">
        <v>10</v>
      </c>
      <c r="D177">
        <v>-73.59872</v>
      </c>
      <c r="E177">
        <v>139.2002</v>
      </c>
      <c r="F177" s="351">
        <f>D" + string(177) + " - (1.96 * E" + string(177) + ")</f>
      </c>
      <c r="G177" s="352">
        <f>D" + string(177) + " + (1.96 * E" + string(177) + ")</f>
      </c>
    </row>
    <row r="178">
      <c r="A178" t="s">
        <v>32</v>
      </c>
      <c r="B178" t="s">
        <v>14</v>
      </c>
      <c r="C178" t="s">
        <v>7</v>
      </c>
      <c r="D178">
        <v>0.0008332</v>
      </c>
      <c r="E178">
        <v>0.0173481</v>
      </c>
      <c r="F178" s="353">
        <f>D" + string(178) + " - (1.96 * E" + string(178) + ")</f>
      </c>
      <c r="G178" s="354">
        <f>D" + string(178) + " + (1.96 * E" + string(178) + ")</f>
      </c>
    </row>
    <row r="179">
      <c r="A179" t="s">
        <v>32</v>
      </c>
      <c r="B179" t="s">
        <v>14</v>
      </c>
      <c r="C179" t="s">
        <v>8</v>
      </c>
      <c r="D179">
        <v>0.0021374</v>
      </c>
      <c r="E179">
        <v>0.0037635</v>
      </c>
      <c r="F179" s="355">
        <f>D" + string(179) + " - (1.96 * E" + string(179) + ")</f>
      </c>
      <c r="G179" s="356">
        <f>D" + string(179) + " + (1.96 * E" + string(179) + ")</f>
      </c>
    </row>
    <row r="180">
      <c r="A180" t="s">
        <v>32</v>
      </c>
      <c r="B180" t="s">
        <v>14</v>
      </c>
      <c r="C180" t="s">
        <v>9</v>
      </c>
      <c r="D180">
        <v>0.0006064</v>
      </c>
      <c r="E180">
        <v>0.0004572</v>
      </c>
      <c r="F180" s="357">
        <f>D" + string(180) + " - (1.96 * E" + string(180) + ")</f>
      </c>
      <c r="G180" s="358">
        <f>D" + string(180) + " + (1.96 * E" + string(180) + ")</f>
      </c>
    </row>
    <row r="181">
      <c r="A181" t="s">
        <v>32</v>
      </c>
      <c r="B181" t="s">
        <v>14</v>
      </c>
      <c r="C181" t="s">
        <v>10</v>
      </c>
      <c r="D181">
        <v>-96.14118000000001</v>
      </c>
      <c r="E181">
        <v>98.98095000000001</v>
      </c>
      <c r="F181" s="359">
        <f>D" + string(181) + " - (1.96 * E" + string(181) + ")</f>
      </c>
      <c r="G181" s="360">
        <f>D" + string(181) + " + (1.96 * E" + string(181) + ")</f>
      </c>
    </row>
    <row r="182">
      <c r="A182" t="s">
        <v>32</v>
      </c>
      <c r="B182" t="s">
        <v>15</v>
      </c>
      <c r="C182" t="s">
        <v>7</v>
      </c>
      <c r="D182">
        <v>0.0475374</v>
      </c>
      <c r="E182">
        <v>0.0186645</v>
      </c>
      <c r="F182" s="361">
        <f>D" + string(182) + " - (1.96 * E" + string(182) + ")</f>
      </c>
      <c r="G182" s="362">
        <f>D" + string(182) + " + (1.96 * E" + string(182) + ")</f>
      </c>
    </row>
    <row r="183">
      <c r="A183" t="s">
        <v>32</v>
      </c>
      <c r="B183" t="s">
        <v>15</v>
      </c>
      <c r="C183" t="s">
        <v>8</v>
      </c>
      <c r="D183">
        <v>-0.0067855</v>
      </c>
      <c r="E183">
        <v>0.0025901</v>
      </c>
      <c r="F183" s="363">
        <f>D" + string(183) + " - (1.96 * E" + string(183) + ")</f>
      </c>
      <c r="G183" s="364">
        <f>D" + string(183) + " + (1.96 * E" + string(183) + ")</f>
      </c>
    </row>
    <row r="184">
      <c r="A184" t="s">
        <v>32</v>
      </c>
      <c r="B184" t="s">
        <v>15</v>
      </c>
      <c r="C184" t="s">
        <v>9</v>
      </c>
      <c r="D184">
        <v>-0.0008045</v>
      </c>
      <c r="E184">
        <v>0.0014578</v>
      </c>
      <c r="F184" s="365">
        <f>D" + string(184) + " - (1.96 * E" + string(184) + ")</f>
      </c>
      <c r="G184" s="366">
        <f>D" + string(184) + " + (1.96 * E" + string(184) + ")</f>
      </c>
    </row>
    <row r="185">
      <c r="A185" t="s">
        <v>32</v>
      </c>
      <c r="B185" t="s">
        <v>15</v>
      </c>
      <c r="C185" t="s">
        <v>10</v>
      </c>
      <c r="D185">
        <v>-293.2508</v>
      </c>
      <c r="E185">
        <v>105.8308</v>
      </c>
      <c r="F185" s="367">
        <f>D" + string(185) + " - (1.96 * E" + string(185) + ")</f>
      </c>
      <c r="G185" s="368">
        <f>D" + string(185) + " + (1.96 * E" + string(185) + ")</f>
      </c>
    </row>
    <row r="186">
      <c r="A186" t="s">
        <v>32</v>
      </c>
      <c r="B186" t="s">
        <v>16</v>
      </c>
      <c r="C186" t="s">
        <v>7</v>
      </c>
      <c r="D186">
        <v>0.0272108</v>
      </c>
      <c r="E186">
        <v>0.0322758</v>
      </c>
      <c r="F186" s="369">
        <f>D" + string(186) + " - (1.96 * E" + string(186) + ")</f>
      </c>
      <c r="G186" s="370">
        <f>D" + string(186) + " + (1.96 * E" + string(186) + ")</f>
      </c>
    </row>
    <row r="187">
      <c r="A187" t="s">
        <v>32</v>
      </c>
      <c r="B187" t="s">
        <v>16</v>
      </c>
      <c r="C187" t="s">
        <v>8</v>
      </c>
      <c r="D187">
        <v>-0.0095773</v>
      </c>
      <c r="E187">
        <v>0.0035969</v>
      </c>
      <c r="F187" s="371">
        <f>D" + string(187) + " - (1.96 * E" + string(187) + ")</f>
      </c>
      <c r="G187" s="372">
        <f>D" + string(187) + " + (1.96 * E" + string(187) + ")</f>
      </c>
    </row>
    <row r="188">
      <c r="A188" t="s">
        <v>32</v>
      </c>
      <c r="B188" t="s">
        <v>16</v>
      </c>
      <c r="C188" t="s">
        <v>9</v>
      </c>
      <c r="D188">
        <v>-0.0020272</v>
      </c>
      <c r="E188">
        <v>0.0010982</v>
      </c>
      <c r="F188" s="373">
        <f>D" + string(188) + " - (1.96 * E" + string(188) + ")</f>
      </c>
      <c r="G188" s="374">
        <f>D" + string(188) + " + (1.96 * E" + string(188) + ")</f>
      </c>
    </row>
    <row r="189">
      <c r="A189" t="s">
        <v>32</v>
      </c>
      <c r="B189" t="s">
        <v>16</v>
      </c>
      <c r="C189" t="s">
        <v>10</v>
      </c>
      <c r="D189">
        <v>-1.584165</v>
      </c>
      <c r="E189">
        <v>78.77215</v>
      </c>
      <c r="F189" s="375">
        <f>D" + string(189) + " - (1.96 * E" + string(189) + ")</f>
      </c>
      <c r="G189" s="376">
        <f>D" + string(189) + " + (1.96 * E" + string(189) + ")</f>
      </c>
    </row>
    <row r="190">
      <c r="A190" t="s">
        <v>32</v>
      </c>
      <c r="B190" t="s">
        <v>30</v>
      </c>
      <c r="C190" t="s">
        <v>7</v>
      </c>
      <c r="D190">
        <v>0.0303858</v>
      </c>
      <c r="E190">
        <v>0.0264753</v>
      </c>
      <c r="F190" s="377">
        <f>D" + string(190) + " - (1.96 * E" + string(190) + ")</f>
      </c>
      <c r="G190" s="378">
        <f>D" + string(190) + " + (1.96 * E" + string(190) + ")</f>
      </c>
    </row>
    <row r="191">
      <c r="A191" t="s">
        <v>32</v>
      </c>
      <c r="B191" t="s">
        <v>30</v>
      </c>
      <c r="C191" t="s">
        <v>8</v>
      </c>
      <c r="D191">
        <v>-0.0041986</v>
      </c>
      <c r="E191">
        <v>0.0018916</v>
      </c>
      <c r="F191" s="379">
        <f>D" + string(191) + " - (1.96 * E" + string(191) + ")</f>
      </c>
      <c r="G191" s="380">
        <f>D" + string(191) + " + (1.96 * E" + string(191) + ")</f>
      </c>
    </row>
    <row r="192">
      <c r="A192" t="s">
        <v>32</v>
      </c>
      <c r="B192" t="s">
        <v>30</v>
      </c>
      <c r="C192" t="s">
        <v>9</v>
      </c>
      <c r="D192">
        <v>0.0003885</v>
      </c>
      <c r="E192">
        <v>0.000702</v>
      </c>
      <c r="F192" s="381">
        <f>D" + string(192) + " - (1.96 * E" + string(192) + ")</f>
      </c>
      <c r="G192" s="382">
        <f>D" + string(192) + " + (1.96 * E" + string(192) + ")</f>
      </c>
    </row>
    <row r="193">
      <c r="A193" t="s">
        <v>32</v>
      </c>
      <c r="B193" t="s">
        <v>30</v>
      </c>
      <c r="C193" t="s">
        <v>10</v>
      </c>
      <c r="D193">
        <v>-18.97645</v>
      </c>
      <c r="E193">
        <v>10.29162</v>
      </c>
      <c r="F193" s="383">
        <f>D" + string(193) + " - (1.96 * E" + string(193) + ")</f>
      </c>
      <c r="G193" s="384">
        <f>D" + string(193) + " + (1.96 * E" + string(193) + ")</f>
      </c>
    </row>
    <row r="194">
      <c r="A194" t="s">
        <v>32</v>
      </c>
      <c r="B194" t="s">
        <v>17</v>
      </c>
      <c r="C194" t="s">
        <v>7</v>
      </c>
      <c r="D194">
        <v>0.0035258</v>
      </c>
      <c r="E194">
        <v>0.0140894</v>
      </c>
      <c r="F194" s="385">
        <f>D" + string(194) + " - (1.96 * E" + string(194) + ")</f>
      </c>
      <c r="G194" s="386">
        <f>D" + string(194) + " + (1.96 * E" + string(194) + ")</f>
      </c>
    </row>
    <row r="195">
      <c r="A195" t="s">
        <v>32</v>
      </c>
      <c r="B195" t="s">
        <v>17</v>
      </c>
      <c r="C195" t="s">
        <v>8</v>
      </c>
      <c r="D195">
        <v>0.0121197</v>
      </c>
      <c r="E195">
        <v>0.0109143</v>
      </c>
      <c r="F195" s="387">
        <f>D" + string(195) + " - (1.96 * E" + string(195) + ")</f>
      </c>
      <c r="G195" s="388">
        <f>D" + string(195) + " + (1.96 * E" + string(195) + ")</f>
      </c>
    </row>
    <row r="196">
      <c r="A196" t="s">
        <v>32</v>
      </c>
      <c r="B196" t="s">
        <v>17</v>
      </c>
      <c r="C196" t="s">
        <v>9</v>
      </c>
      <c r="D196">
        <v>0.0065911</v>
      </c>
      <c r="E196">
        <v>0.0054798</v>
      </c>
      <c r="F196" s="389">
        <f>D" + string(196) + " - (1.96 * E" + string(196) + ")</f>
      </c>
      <c r="G196" s="390">
        <f>D" + string(196) + " + (1.96 * E" + string(196) + ")</f>
      </c>
    </row>
    <row r="197">
      <c r="A197" t="s">
        <v>32</v>
      </c>
      <c r="B197" t="s">
        <v>17</v>
      </c>
      <c r="C197" t="s">
        <v>10</v>
      </c>
      <c r="D197">
        <v>-144.58</v>
      </c>
      <c r="E197">
        <v>78.68685000000001</v>
      </c>
      <c r="F197" s="391">
        <f>D" + string(197) + " - (1.96 * E" + string(197) + ")</f>
      </c>
      <c r="G197" s="392">
        <f>D" + string(197) + " + (1.96 * E" + string(197) + ")</f>
      </c>
    </row>
    <row r="198">
      <c r="A198" t="s">
        <v>32</v>
      </c>
      <c r="B198" t="s">
        <v>18</v>
      </c>
      <c r="C198" t="s">
        <v>7</v>
      </c>
      <c r="D198">
        <v>0.0128283</v>
      </c>
      <c r="E198">
        <v>0.0067556</v>
      </c>
      <c r="F198" s="393">
        <f>D" + string(198) + " - (1.96 * E" + string(198) + ")</f>
      </c>
      <c r="G198" s="394">
        <f>D" + string(198) + " + (1.96 * E" + string(198) + ")</f>
      </c>
    </row>
    <row r="199">
      <c r="A199" t="s">
        <v>32</v>
      </c>
      <c r="B199" t="s">
        <v>18</v>
      </c>
      <c r="C199" t="s">
        <v>8</v>
      </c>
      <c r="D199">
        <v>-0.0023501</v>
      </c>
      <c r="E199">
        <v>0.0012113</v>
      </c>
      <c r="F199" s="395">
        <f>D" + string(199) + " - (1.96 * E" + string(199) + ")</f>
      </c>
      <c r="G199" s="396">
        <f>D" + string(199) + " + (1.96 * E" + string(199) + ")</f>
      </c>
    </row>
    <row r="200">
      <c r="A200" t="s">
        <v>32</v>
      </c>
      <c r="B200" t="s">
        <v>18</v>
      </c>
      <c r="C200" t="s">
        <v>9</v>
      </c>
      <c r="D200">
        <v>-0.0015722</v>
      </c>
      <c r="E200">
        <v>0.0003495</v>
      </c>
      <c r="F200" s="397">
        <f>D" + string(200) + " - (1.96 * E" + string(200) + ")</f>
      </c>
      <c r="G200" s="398">
        <f>D" + string(200) + " + (1.96 * E" + string(200) + ")</f>
      </c>
    </row>
    <row r="201">
      <c r="A201" t="s">
        <v>32</v>
      </c>
      <c r="B201" t="s">
        <v>18</v>
      </c>
      <c r="C201" t="s">
        <v>10</v>
      </c>
      <c r="D201">
        <v>-89.62502000000001</v>
      </c>
      <c r="E201">
        <v>52.77532</v>
      </c>
      <c r="F201" s="399">
        <f>D" + string(201) + " - (1.96 * E" + string(201) + ")</f>
      </c>
      <c r="G201" s="400">
        <f>D" + string(201) + " + (1.96 * E" + string(201) + ")</f>
      </c>
    </row>
    <row r="202">
      <c r="A202" t="s">
        <v>32</v>
      </c>
      <c r="B202" t="s">
        <v>19</v>
      </c>
      <c r="C202" t="s">
        <v>7</v>
      </c>
      <c r="D202">
        <v>-0.0005591</v>
      </c>
      <c r="E202">
        <v>0.0268878</v>
      </c>
      <c r="F202" s="401">
        <f>D" + string(202) + " - (1.96 * E" + string(202) + ")</f>
      </c>
      <c r="G202" s="402">
        <f>D" + string(202) + " + (1.96 * E" + string(202) + ")</f>
      </c>
    </row>
    <row r="203">
      <c r="A203" t="s">
        <v>32</v>
      </c>
      <c r="B203" t="s">
        <v>19</v>
      </c>
      <c r="C203" t="s">
        <v>8</v>
      </c>
      <c r="D203">
        <v>0.0004737</v>
      </c>
      <c r="E203">
        <v>0.0034522</v>
      </c>
      <c r="F203" s="403">
        <f>D" + string(203) + " - (1.96 * E" + string(203) + ")</f>
      </c>
      <c r="G203" s="404">
        <f>D" + string(203) + " + (1.96 * E" + string(203) + ")</f>
      </c>
    </row>
    <row r="204">
      <c r="A204" t="s">
        <v>32</v>
      </c>
      <c r="B204" t="s">
        <v>19</v>
      </c>
      <c r="C204" t="s">
        <v>9</v>
      </c>
      <c r="D204">
        <v>0.0007815</v>
      </c>
      <c r="E204">
        <v>0.0017249</v>
      </c>
      <c r="F204" s="405">
        <f>D" + string(204) + " - (1.96 * E" + string(204) + ")</f>
      </c>
      <c r="G204" s="406">
        <f>D" + string(204) + " + (1.96 * E" + string(204) + ")</f>
      </c>
    </row>
    <row r="205">
      <c r="A205" t="s">
        <v>32</v>
      </c>
      <c r="B205" t="s">
        <v>19</v>
      </c>
      <c r="C205" t="s">
        <v>10</v>
      </c>
      <c r="D205">
        <v>-15.62342</v>
      </c>
      <c r="E205">
        <v>62.48557</v>
      </c>
      <c r="F205" s="407">
        <f>D" + string(205) + " - (1.96 * E" + string(205) + ")</f>
      </c>
      <c r="G205" s="408">
        <f>D" + string(205) + " + (1.96 * E" + string(205) + ")</f>
      </c>
    </row>
    <row r="206">
      <c r="A206" t="s">
        <v>32</v>
      </c>
      <c r="B206" t="s">
        <v>20</v>
      </c>
      <c r="C206" t="s">
        <v>7</v>
      </c>
      <c r="D206">
        <v>0.0029729</v>
      </c>
      <c r="E206">
        <v>0.0198577</v>
      </c>
      <c r="F206" s="409">
        <f>D" + string(206) + " - (1.96 * E" + string(206) + ")</f>
      </c>
      <c r="G206" s="410">
        <f>D" + string(206) + " + (1.96 * E" + string(206) + ")</f>
      </c>
    </row>
    <row r="207">
      <c r="A207" t="s">
        <v>32</v>
      </c>
      <c r="B207" t="s">
        <v>20</v>
      </c>
      <c r="C207" t="s">
        <v>8</v>
      </c>
      <c r="D207">
        <v>-0.0021355</v>
      </c>
      <c r="E207">
        <v>0.0011445</v>
      </c>
      <c r="F207" s="411">
        <f>D" + string(207) + " - (1.96 * E" + string(207) + ")</f>
      </c>
      <c r="G207" s="412">
        <f>D" + string(207) + " + (1.96 * E" + string(207) + ")</f>
      </c>
    </row>
    <row r="208">
      <c r="A208" t="s">
        <v>32</v>
      </c>
      <c r="B208" t="s">
        <v>20</v>
      </c>
      <c r="C208" t="s">
        <v>9</v>
      </c>
      <c r="D208">
        <v>-0.0009307</v>
      </c>
      <c r="E208">
        <v>0.0005728</v>
      </c>
      <c r="F208" s="413">
        <f>D" + string(208) + " - (1.96 * E" + string(208) + ")</f>
      </c>
      <c r="G208" s="414">
        <f>D" + string(208) + " + (1.96 * E" + string(208) + ")</f>
      </c>
    </row>
    <row r="209">
      <c r="A209" t="s">
        <v>32</v>
      </c>
      <c r="B209" t="s">
        <v>20</v>
      </c>
      <c r="C209" t="s">
        <v>10</v>
      </c>
      <c r="D209">
        <v>-48.95711</v>
      </c>
      <c r="E209">
        <v>51.14701</v>
      </c>
      <c r="F209" s="415">
        <f>D" + string(209) + " - (1.96 * E" + string(209) + ")</f>
      </c>
      <c r="G209" s="416">
        <f>D" + string(209) + " + (1.96 * E" + string(209) + ")</f>
      </c>
    </row>
    <row r="210">
      <c r="A210" t="s">
        <v>32</v>
      </c>
      <c r="B210" t="s">
        <v>21</v>
      </c>
      <c r="C210" t="s">
        <v>7</v>
      </c>
      <c r="D210">
        <v>0.0235666</v>
      </c>
      <c r="E210">
        <v>0.0184824</v>
      </c>
      <c r="F210" s="417">
        <f>D" + string(210) + " - (1.96 * E" + string(210) + ")</f>
      </c>
      <c r="G210" s="418">
        <f>D" + string(210) + " + (1.96 * E" + string(210) + ")</f>
      </c>
    </row>
    <row r="211">
      <c r="A211" t="s">
        <v>32</v>
      </c>
      <c r="B211" t="s">
        <v>21</v>
      </c>
      <c r="C211" t="s">
        <v>8</v>
      </c>
      <c r="D211">
        <v>0.0077496</v>
      </c>
      <c r="E211">
        <v>0.0099521</v>
      </c>
      <c r="F211" s="419">
        <f>D" + string(211) + " - (1.96 * E" + string(211) + ")</f>
      </c>
      <c r="G211" s="420">
        <f>D" + string(211) + " + (1.96 * E" + string(211) + ")</f>
      </c>
    </row>
    <row r="212">
      <c r="A212" t="s">
        <v>32</v>
      </c>
      <c r="B212" t="s">
        <v>21</v>
      </c>
      <c r="C212" t="s">
        <v>9</v>
      </c>
      <c r="D212">
        <v>-0.0003823</v>
      </c>
      <c r="E212">
        <v>0.0020927</v>
      </c>
      <c r="F212" s="421">
        <f>D" + string(212) + " - (1.96 * E" + string(212) + ")</f>
      </c>
      <c r="G212" s="422">
        <f>D" + string(212) + " + (1.96 * E" + string(212) + ")</f>
      </c>
    </row>
    <row r="213">
      <c r="A213" t="s">
        <v>32</v>
      </c>
      <c r="B213" t="s">
        <v>21</v>
      </c>
      <c r="C213" t="s">
        <v>10</v>
      </c>
      <c r="D213">
        <v>-0.032141</v>
      </c>
      <c r="E213">
        <v>42.2097</v>
      </c>
      <c r="F213" s="423">
        <f>D" + string(213) + " - (1.96 * E" + string(213) + ")</f>
      </c>
      <c r="G213" s="424">
        <f>D" + string(213) + " + (1.96 * E" + string(213) + ")</f>
      </c>
    </row>
    <row r="214">
      <c r="A214" t="s">
        <v>32</v>
      </c>
      <c r="B214" t="s">
        <v>22</v>
      </c>
      <c r="C214" t="s">
        <v>7</v>
      </c>
      <c r="D214">
        <v>0.0106578</v>
      </c>
      <c r="E214">
        <v>0.0123335</v>
      </c>
      <c r="F214" s="425">
        <f>D" + string(214) + " - (1.96 * E" + string(214) + ")</f>
      </c>
      <c r="G214" s="426">
        <f>D" + string(214) + " + (1.96 * E" + string(214) + ")</f>
      </c>
    </row>
    <row r="215">
      <c r="A215" t="s">
        <v>32</v>
      </c>
      <c r="B215" t="s">
        <v>22</v>
      </c>
      <c r="C215" t="s">
        <v>8</v>
      </c>
      <c r="D215">
        <v>-0.0026232</v>
      </c>
      <c r="E215">
        <v>0.0017934</v>
      </c>
      <c r="F215" s="427">
        <f>D" + string(215) + " - (1.96 * E" + string(215) + ")</f>
      </c>
      <c r="G215" s="428">
        <f>D" + string(215) + " + (1.96 * E" + string(215) + ")</f>
      </c>
    </row>
    <row r="216">
      <c r="A216" t="s">
        <v>32</v>
      </c>
      <c r="B216" t="s">
        <v>22</v>
      </c>
      <c r="C216" t="s">
        <v>9</v>
      </c>
      <c r="D216">
        <v>-0.0016489</v>
      </c>
      <c r="E216">
        <v>0.000883</v>
      </c>
      <c r="F216" s="429">
        <f>D" + string(216) + " - (1.96 * E" + string(216) + ")</f>
      </c>
      <c r="G216" s="430">
        <f>D" + string(216) + " + (1.96 * E" + string(216) + ")</f>
      </c>
    </row>
    <row r="217">
      <c r="A217" t="s">
        <v>32</v>
      </c>
      <c r="B217" t="s">
        <v>22</v>
      </c>
      <c r="C217" t="s">
        <v>10</v>
      </c>
      <c r="D217">
        <v>-30.16379</v>
      </c>
      <c r="E217">
        <v>52.99956</v>
      </c>
      <c r="F217" s="431">
        <f>D" + string(217) + " - (1.96 * E" + string(217) + ")</f>
      </c>
      <c r="G217" s="432">
        <f>D" + string(217) + " + (1.96 * E" + string(217) + ")</f>
      </c>
    </row>
    <row r="218">
      <c r="A218" t="s">
        <v>32</v>
      </c>
      <c r="B218" t="s">
        <v>31</v>
      </c>
      <c r="C218" t="s">
        <v>7</v>
      </c>
      <c r="D218">
        <v>0.0281496</v>
      </c>
      <c r="E218">
        <v>0.0378804</v>
      </c>
      <c r="F218" s="433">
        <f>D" + string(218) + " - (1.96 * E" + string(218) + ")</f>
      </c>
      <c r="G218" s="434">
        <f>D" + string(218) + " + (1.96 * E" + string(218) + ")</f>
      </c>
    </row>
    <row r="219">
      <c r="A219" t="s">
        <v>32</v>
      </c>
      <c r="B219" t="s">
        <v>31</v>
      </c>
      <c r="C219" t="s">
        <v>8</v>
      </c>
      <c r="D219">
        <v>-0.0004435</v>
      </c>
      <c r="E219">
        <v>0.0081206</v>
      </c>
      <c r="F219" s="435">
        <f>D" + string(219) + " - (1.96 * E" + string(219) + ")</f>
      </c>
      <c r="G219" s="436">
        <f>D" + string(219) + " + (1.96 * E" + string(219) + ")</f>
      </c>
    </row>
    <row r="220">
      <c r="A220" t="s">
        <v>32</v>
      </c>
      <c r="B220" t="s">
        <v>31</v>
      </c>
      <c r="C220" t="s">
        <v>9</v>
      </c>
      <c r="D220">
        <v>0.0010007</v>
      </c>
      <c r="E220">
        <v>0.0006777</v>
      </c>
      <c r="F220" s="437">
        <f>D" + string(220) + " - (1.96 * E" + string(220) + ")</f>
      </c>
      <c r="G220" s="438">
        <f>D" + string(220) + " + (1.96 * E" + string(220) + ")</f>
      </c>
    </row>
    <row r="221">
      <c r="A221" t="s">
        <v>32</v>
      </c>
      <c r="B221" t="s">
        <v>31</v>
      </c>
      <c r="C221" t="s">
        <v>10</v>
      </c>
      <c r="D221">
        <v>0.9296025</v>
      </c>
      <c r="E221">
        <v>10.08333</v>
      </c>
      <c r="F221" s="439">
        <f>D" + string(221) + " - (1.96 * E" + string(221) + ")</f>
      </c>
      <c r="G221" s="440">
        <f>D" + string(221) + " + (1.96 * E" + string(221) + ")</f>
      </c>
    </row>
    <row r="222">
      <c r="A222" t="s">
        <v>32</v>
      </c>
      <c r="B222" t="s">
        <v>23</v>
      </c>
      <c r="C222" t="s">
        <v>7</v>
      </c>
      <c r="D222">
        <v>-0.016534</v>
      </c>
      <c r="E222">
        <v>0.0100346</v>
      </c>
      <c r="F222" s="441">
        <f>D" + string(222) + " - (1.96 * E" + string(222) + ")</f>
      </c>
      <c r="G222" s="442">
        <f>D" + string(222) + " + (1.96 * E" + string(222) + ")</f>
      </c>
    </row>
    <row r="223">
      <c r="A223" t="s">
        <v>32</v>
      </c>
      <c r="B223" t="s">
        <v>23</v>
      </c>
      <c r="C223" t="s">
        <v>8</v>
      </c>
      <c r="D223">
        <v>0.0071156</v>
      </c>
      <c r="E223">
        <v>0.0066806</v>
      </c>
      <c r="F223" s="443">
        <f>D" + string(223) + " - (1.96 * E" + string(223) + ")</f>
      </c>
      <c r="G223" s="444">
        <f>D" + string(223) + " + (1.96 * E" + string(223) + ")</f>
      </c>
    </row>
    <row r="224">
      <c r="A224" t="s">
        <v>32</v>
      </c>
      <c r="B224" t="s">
        <v>23</v>
      </c>
      <c r="C224" t="s">
        <v>9</v>
      </c>
      <c r="D224">
        <v>0.0007042</v>
      </c>
      <c r="E224">
        <v>0.0020597</v>
      </c>
      <c r="F224" s="445">
        <f>D" + string(224) + " - (1.96 * E" + string(224) + ")</f>
      </c>
      <c r="G224" s="446">
        <f>D" + string(224) + " + (1.96 * E" + string(224) + ")</f>
      </c>
    </row>
    <row r="225">
      <c r="A225" t="s">
        <v>32</v>
      </c>
      <c r="B225" t="s">
        <v>23</v>
      </c>
      <c r="C225" t="s">
        <v>10</v>
      </c>
      <c r="D225">
        <v>-77.08154999999999</v>
      </c>
      <c r="E225">
        <v>84.09238000000001</v>
      </c>
      <c r="F225" s="447">
        <f>D" + string(225) + " - (1.96 * E" + string(225) + ")</f>
      </c>
      <c r="G225" s="448">
        <f>D" + string(225) + " + (1.96 * E" + string(225) + ")</f>
      </c>
    </row>
    <row r="226">
      <c r="A226" t="s">
        <v>32</v>
      </c>
      <c r="B226" t="s">
        <v>24</v>
      </c>
      <c r="C226" t="s">
        <v>7</v>
      </c>
      <c r="D226">
        <v>-0.0037829</v>
      </c>
      <c r="E226">
        <v>0.0051177</v>
      </c>
      <c r="F226" s="449">
        <f>D" + string(226) + " - (1.96 * E" + string(226) + ")</f>
      </c>
      <c r="G226" s="450">
        <f>D" + string(226) + " + (1.96 * E" + string(226) + ")</f>
      </c>
    </row>
    <row r="227">
      <c r="A227" t="s">
        <v>32</v>
      </c>
      <c r="B227" t="s">
        <v>24</v>
      </c>
      <c r="C227" t="s">
        <v>8</v>
      </c>
      <c r="D227">
        <v>0.0031021</v>
      </c>
      <c r="E227">
        <v>0.0037877</v>
      </c>
      <c r="F227" s="451">
        <f>D" + string(227) + " - (1.96 * E" + string(227) + ")</f>
      </c>
      <c r="G227" s="452">
        <f>D" + string(227) + " + (1.96 * E" + string(227) + ")</f>
      </c>
    </row>
    <row r="228">
      <c r="A228" t="s">
        <v>32</v>
      </c>
      <c r="B228" t="s">
        <v>24</v>
      </c>
      <c r="C228" t="s">
        <v>9</v>
      </c>
      <c r="D228">
        <v>0.0001759</v>
      </c>
      <c r="E228">
        <v>0.0010255</v>
      </c>
      <c r="F228" s="453">
        <f>D" + string(228) + " - (1.96 * E" + string(228) + ")</f>
      </c>
      <c r="G228" s="454">
        <f>D" + string(228) + " + (1.96 * E" + string(228) + ")</f>
      </c>
    </row>
    <row r="229">
      <c r="A229" t="s">
        <v>32</v>
      </c>
      <c r="B229" t="s">
        <v>24</v>
      </c>
      <c r="C229" t="s">
        <v>10</v>
      </c>
      <c r="D229">
        <v>-984.6867999999999</v>
      </c>
      <c r="E229">
        <v>478.9241</v>
      </c>
      <c r="F229" s="455">
        <f>D" + string(229) + " - (1.96 * E" + string(229) + ")</f>
      </c>
      <c r="G229" s="456">
        <f>D" + string(229) + " + (1.96 * E" + string(229) + ")</f>
      </c>
    </row>
    <row r="230">
      <c r="A230" t="s">
        <v>32</v>
      </c>
      <c r="B230" t="s">
        <v>25</v>
      </c>
      <c r="C230" t="s">
        <v>7</v>
      </c>
      <c r="D230">
        <v>0.0119101</v>
      </c>
      <c r="E230">
        <v>0.0159353</v>
      </c>
      <c r="F230" s="457">
        <f>D" + string(230) + " - (1.96 * E" + string(230) + ")</f>
      </c>
      <c r="G230" s="458">
        <f>D" + string(230) + " + (1.96 * E" + string(230) + ")</f>
      </c>
    </row>
    <row r="231">
      <c r="A231" t="s">
        <v>32</v>
      </c>
      <c r="B231" t="s">
        <v>25</v>
      </c>
      <c r="C231" t="s">
        <v>8</v>
      </c>
      <c r="D231">
        <v>0.0001967</v>
      </c>
      <c r="E231">
        <v>0.0021919</v>
      </c>
      <c r="F231" s="459">
        <f>D" + string(231) + " - (1.96 * E" + string(231) + ")</f>
      </c>
      <c r="G231" s="460">
        <f>D" + string(231) + " + (1.96 * E" + string(231) + ")</f>
      </c>
    </row>
    <row r="232">
      <c r="A232" t="s">
        <v>32</v>
      </c>
      <c r="B232" t="s">
        <v>25</v>
      </c>
      <c r="C232" t="s">
        <v>9</v>
      </c>
      <c r="D232">
        <v>-0.0010285</v>
      </c>
      <c r="E232">
        <v>0.0003505</v>
      </c>
      <c r="F232" s="461">
        <f>D" + string(232) + " - (1.96 * E" + string(232) + ")</f>
      </c>
      <c r="G232" s="462">
        <f>D" + string(232) + " + (1.96 * E" + string(232) + ")</f>
      </c>
    </row>
    <row r="233">
      <c r="A233" t="s">
        <v>32</v>
      </c>
      <c r="B233" t="s">
        <v>25</v>
      </c>
      <c r="C233" t="s">
        <v>10</v>
      </c>
      <c r="D233">
        <v>-93.37793000000001</v>
      </c>
      <c r="E233">
        <v>161.02</v>
      </c>
      <c r="F233" s="463">
        <f>D" + string(233) + " - (1.96 * E" + string(233) + ")</f>
      </c>
      <c r="G233" s="464">
        <f>D" + string(233) + " + (1.96 * E" + string(233) + ")</f>
      </c>
    </row>
    <row r="234">
      <c r="A234" t="s">
        <v>32</v>
      </c>
      <c r="B234" t="s">
        <v>26</v>
      </c>
      <c r="C234" t="s">
        <v>7</v>
      </c>
      <c r="D234">
        <v>-0.0043636</v>
      </c>
      <c r="E234">
        <v>0.0114573</v>
      </c>
      <c r="F234" s="465">
        <f>D" + string(234) + " - (1.96 * E" + string(234) + ")</f>
      </c>
      <c r="G234" s="466">
        <f>D" + string(234) + " + (1.96 * E" + string(234) + ")</f>
      </c>
    </row>
    <row r="235">
      <c r="A235" t="s">
        <v>32</v>
      </c>
      <c r="B235" t="s">
        <v>26</v>
      </c>
      <c r="C235" t="s">
        <v>8</v>
      </c>
      <c r="D235">
        <v>0.001469</v>
      </c>
      <c r="E235">
        <v>0.0058807</v>
      </c>
      <c r="F235" s="467">
        <f>D" + string(235) + " - (1.96 * E" + string(235) + ")</f>
      </c>
      <c r="G235" s="468">
        <f>D" + string(235) + " + (1.96 * E" + string(235) + ")</f>
      </c>
    </row>
    <row r="236">
      <c r="A236" t="s">
        <v>32</v>
      </c>
      <c r="B236" t="s">
        <v>26</v>
      </c>
      <c r="C236" t="s">
        <v>9</v>
      </c>
      <c r="D236">
        <v>-0.0021309</v>
      </c>
      <c r="E236">
        <v>0.0020012</v>
      </c>
      <c r="F236" s="469">
        <f>D" + string(236) + " - (1.96 * E" + string(236) + ")</f>
      </c>
      <c r="G236" s="470">
        <f>D" + string(236) + " + (1.96 * E" + string(236) + ")</f>
      </c>
    </row>
    <row r="237">
      <c r="A237" t="s">
        <v>32</v>
      </c>
      <c r="B237" t="s">
        <v>26</v>
      </c>
      <c r="C237" t="s">
        <v>10</v>
      </c>
      <c r="D237">
        <v>32.66032</v>
      </c>
      <c r="E237">
        <v>93.78022</v>
      </c>
      <c r="F237" s="471">
        <f>D" + string(237) + " - (1.96 * E" + string(237) + ")</f>
      </c>
      <c r="G237" s="472">
        <f>D" + string(237) + " + (1.96 * E" + string(237) + ")</f>
      </c>
    </row>
    <row r="238">
      <c r="A238" t="s">
        <v>32</v>
      </c>
      <c r="B238" t="s">
        <v>27</v>
      </c>
      <c r="C238" t="s">
        <v>7</v>
      </c>
      <c r="D238">
        <v>0.0216366</v>
      </c>
      <c r="E238">
        <v>0.0177257</v>
      </c>
      <c r="F238" s="473">
        <f>D" + string(238) + " - (1.96 * E" + string(238) + ")</f>
      </c>
      <c r="G238" s="474">
        <f>D" + string(238) + " + (1.96 * E" + string(238) + ")</f>
      </c>
    </row>
    <row r="239">
      <c r="A239" t="s">
        <v>32</v>
      </c>
      <c r="B239" t="s">
        <v>27</v>
      </c>
      <c r="C239" t="s">
        <v>8</v>
      </c>
      <c r="D239">
        <v>-0.0126349</v>
      </c>
      <c r="E239">
        <v>0.0037947</v>
      </c>
      <c r="F239" s="475">
        <f>D" + string(239) + " - (1.96 * E" + string(239) + ")</f>
      </c>
      <c r="G239" s="476">
        <f>D" + string(239) + " + (1.96 * E" + string(239) + ")</f>
      </c>
    </row>
    <row r="240">
      <c r="A240" t="s">
        <v>32</v>
      </c>
      <c r="B240" t="s">
        <v>27</v>
      </c>
      <c r="C240" t="s">
        <v>9</v>
      </c>
      <c r="D240">
        <v>-0.0024384</v>
      </c>
      <c r="E240">
        <v>0.0033532</v>
      </c>
      <c r="F240" s="477">
        <f>D" + string(240) + " - (1.96 * E" + string(240) + ")</f>
      </c>
      <c r="G240" s="478">
        <f>D" + string(240) + " + (1.96 * E" + string(240) + ")</f>
      </c>
    </row>
    <row r="241">
      <c r="A241" t="s">
        <v>32</v>
      </c>
      <c r="B241" t="s">
        <v>27</v>
      </c>
      <c r="C241" t="s">
        <v>10</v>
      </c>
      <c r="D241">
        <v>-152.9168</v>
      </c>
      <c r="E241">
        <v>197.5699</v>
      </c>
      <c r="F241" s="479">
        <f>D" + string(241) + " - (1.96 * E" + string(241) + ")</f>
      </c>
      <c r="G241" s="480">
        <f>D" + string(241) + " + (1.96 * E" + string(241) + ")</f>
      </c>
    </row>
    <row r="242">
      <c r="A242" t="s">
        <v>32</v>
      </c>
      <c r="B242" t="s">
        <v>28</v>
      </c>
      <c r="C242" t="s">
        <v>7</v>
      </c>
      <c r="D242">
        <v>0.0463489</v>
      </c>
      <c r="E242">
        <v>0.0474243</v>
      </c>
      <c r="F242" s="481">
        <f>D" + string(242) + " - (1.96 * E" + string(242) + ")</f>
      </c>
      <c r="G242" s="482">
        <f>D" + string(242) + " + (1.96 * E" + string(242) + ")</f>
      </c>
    </row>
    <row r="243">
      <c r="A243" t="s">
        <v>32</v>
      </c>
      <c r="B243" t="s">
        <v>28</v>
      </c>
      <c r="C243" t="s">
        <v>8</v>
      </c>
      <c r="D243">
        <v>-0.009314299999999999</v>
      </c>
      <c r="E243">
        <v>0.00677</v>
      </c>
      <c r="F243" s="483">
        <f>D" + string(243) + " - (1.96 * E" + string(243) + ")</f>
      </c>
      <c r="G243" s="484">
        <f>D" + string(243) + " + (1.96 * E" + string(243) + ")</f>
      </c>
    </row>
    <row r="244">
      <c r="A244" t="s">
        <v>32</v>
      </c>
      <c r="B244" t="s">
        <v>28</v>
      </c>
      <c r="C244" t="s">
        <v>9</v>
      </c>
      <c r="D244">
        <v>-0.008550800000000001</v>
      </c>
      <c r="E244">
        <v>0.0065334</v>
      </c>
      <c r="F244" s="485">
        <f>D" + string(244) + " - (1.96 * E" + string(244) + ")</f>
      </c>
      <c r="G244" s="486">
        <f>D" + string(244) + " + (1.96 * E" + string(244) + ")</f>
      </c>
    </row>
    <row r="245">
      <c r="A245" t="s">
        <v>32</v>
      </c>
      <c r="B245" t="s">
        <v>28</v>
      </c>
      <c r="C245" t="s">
        <v>10</v>
      </c>
      <c r="D245">
        <v>-42.98532</v>
      </c>
      <c r="E245">
        <v>49.30647</v>
      </c>
      <c r="F245" s="487">
        <f>D" + string(245) + " - (1.96 * E" + string(245) + ")</f>
      </c>
      <c r="G245" s="488">
        <f>D" + string(245) + " + (1.96 * E" + string(245) + ")</f>
      </c>
    </row>
    <row r="246">
      <c r="A246" t="s">
        <v>33</v>
      </c>
      <c r="B246" t="s">
        <v>6</v>
      </c>
      <c r="C246" t="s">
        <v>7</v>
      </c>
      <c r="D246">
        <v>0.0272069</v>
      </c>
      <c r="E246">
        <v>0.0220733</v>
      </c>
      <c r="F246" s="489">
        <f>D" + string(246) + " - (1.96 * E" + string(246) + ")</f>
      </c>
      <c r="G246" s="490">
        <f>D" + string(246) + " + (1.96 * E" + string(246) + ")</f>
      </c>
    </row>
    <row r="247">
      <c r="A247" t="s">
        <v>33</v>
      </c>
      <c r="B247" t="s">
        <v>6</v>
      </c>
      <c r="C247" t="s">
        <v>8</v>
      </c>
      <c r="D247">
        <v>-9.49e-05</v>
      </c>
      <c r="E247">
        <v>0.00622</v>
      </c>
      <c r="F247" s="491">
        <f>D" + string(247) + " - (1.96 * E" + string(247) + ")</f>
      </c>
      <c r="G247" s="492">
        <f>D" + string(247) + " + (1.96 * E" + string(247) + ")</f>
      </c>
    </row>
    <row r="248">
      <c r="A248" t="s">
        <v>33</v>
      </c>
      <c r="B248" t="s">
        <v>6</v>
      </c>
      <c r="C248" t="s">
        <v>9</v>
      </c>
      <c r="D248">
        <v>-0.0044255</v>
      </c>
      <c r="E248">
        <v>0.0033007</v>
      </c>
      <c r="F248" s="493">
        <f>D" + string(248) + " - (1.96 * E" + string(248) + ")</f>
      </c>
      <c r="G248" s="494">
        <f>D" + string(248) + " + (1.96 * E" + string(248) + ")</f>
      </c>
    </row>
    <row r="249">
      <c r="A249" t="s">
        <v>33</v>
      </c>
      <c r="B249" t="s">
        <v>6</v>
      </c>
      <c r="C249" t="s">
        <v>10</v>
      </c>
      <c r="D249">
        <v>31.55845</v>
      </c>
      <c r="E249">
        <v>26.34153</v>
      </c>
      <c r="F249" s="495">
        <f>D" + string(249) + " - (1.96 * E" + string(249) + ")</f>
      </c>
      <c r="G249" s="496">
        <f>D" + string(249) + " + (1.96 * E" + string(249) + ")</f>
      </c>
    </row>
    <row r="250">
      <c r="A250" t="s">
        <v>33</v>
      </c>
      <c r="B250" t="s">
        <v>11</v>
      </c>
      <c r="C250" t="s">
        <v>7</v>
      </c>
      <c r="D250">
        <v>0.0071496</v>
      </c>
      <c r="E250">
        <v>0.0190324</v>
      </c>
      <c r="F250" s="497">
        <f>D" + string(250) + " - (1.96 * E" + string(250) + ")</f>
      </c>
      <c r="G250" s="498">
        <f>D" + string(250) + " + (1.96 * E" + string(250) + ")</f>
      </c>
    </row>
    <row r="251">
      <c r="A251" t="s">
        <v>33</v>
      </c>
      <c r="B251" t="s">
        <v>11</v>
      </c>
      <c r="C251" t="s">
        <v>8</v>
      </c>
      <c r="D251">
        <v>0.0207589</v>
      </c>
      <c r="E251">
        <v>0.0110411</v>
      </c>
      <c r="F251" s="499">
        <f>D" + string(251) + " - (1.96 * E" + string(251) + ")</f>
      </c>
      <c r="G251" s="500">
        <f>D" + string(251) + " + (1.96 * E" + string(251) + ")</f>
      </c>
    </row>
    <row r="252">
      <c r="A252" t="s">
        <v>33</v>
      </c>
      <c r="B252" t="s">
        <v>11</v>
      </c>
      <c r="C252" t="s">
        <v>9</v>
      </c>
      <c r="D252">
        <v>0.0048073</v>
      </c>
      <c r="E252">
        <v>0.00453</v>
      </c>
      <c r="F252" s="501">
        <f>D" + string(252) + " - (1.96 * E" + string(252) + ")</f>
      </c>
      <c r="G252" s="502">
        <f>D" + string(252) + " + (1.96 * E" + string(252) + ")</f>
      </c>
    </row>
    <row r="253">
      <c r="A253" t="s">
        <v>33</v>
      </c>
      <c r="B253" t="s">
        <v>11</v>
      </c>
      <c r="C253" t="s">
        <v>10</v>
      </c>
      <c r="D253">
        <v>19.1509</v>
      </c>
      <c r="E253">
        <v>34.50248</v>
      </c>
      <c r="F253" s="503">
        <f>D" + string(253) + " - (1.96 * E" + string(253) + ")</f>
      </c>
      <c r="G253" s="504">
        <f>D" + string(253) + " + (1.96 * E" + string(253) + ")</f>
      </c>
    </row>
    <row r="254">
      <c r="A254" t="s">
        <v>33</v>
      </c>
      <c r="B254" t="s">
        <v>12</v>
      </c>
      <c r="C254" t="s">
        <v>7</v>
      </c>
      <c r="D254">
        <v>-0.0130604</v>
      </c>
      <c r="E254">
        <v>0.0121461</v>
      </c>
      <c r="F254" s="505">
        <f>D" + string(254) + " - (1.96 * E" + string(254) + ")</f>
      </c>
      <c r="G254" s="506">
        <f>D" + string(254) + " + (1.96 * E" + string(254) + ")</f>
      </c>
    </row>
    <row r="255">
      <c r="A255" t="s">
        <v>33</v>
      </c>
      <c r="B255" t="s">
        <v>12</v>
      </c>
      <c r="C255" t="s">
        <v>8</v>
      </c>
      <c r="D255">
        <v>0.0251012</v>
      </c>
      <c r="E255">
        <v>0.0126438</v>
      </c>
      <c r="F255" s="507">
        <f>D" + string(255) + " - (1.96 * E" + string(255) + ")</f>
      </c>
      <c r="G255" s="508">
        <f>D" + string(255) + " + (1.96 * E" + string(255) + ")</f>
      </c>
    </row>
    <row r="256">
      <c r="A256" t="s">
        <v>33</v>
      </c>
      <c r="B256" t="s">
        <v>12</v>
      </c>
      <c r="C256" t="s">
        <v>9</v>
      </c>
      <c r="D256">
        <v>0.0050747</v>
      </c>
      <c r="E256">
        <v>0.0039821</v>
      </c>
      <c r="F256" s="509">
        <f>D" + string(256) + " - (1.96 * E" + string(256) + ")</f>
      </c>
      <c r="G256" s="510">
        <f>D" + string(256) + " + (1.96 * E" + string(256) + ")</f>
      </c>
    </row>
    <row r="257">
      <c r="A257" t="s">
        <v>33</v>
      </c>
      <c r="B257" t="s">
        <v>12</v>
      </c>
      <c r="C257" t="s">
        <v>10</v>
      </c>
      <c r="D257">
        <v>-55.79182</v>
      </c>
      <c r="E257">
        <v>54.55136</v>
      </c>
      <c r="F257" s="511">
        <f>D" + string(257) + " - (1.96 * E" + string(257) + ")</f>
      </c>
      <c r="G257" s="512">
        <f>D" + string(257) + " + (1.96 * E" + string(257) + ")</f>
      </c>
    </row>
    <row r="258">
      <c r="A258" t="s">
        <v>33</v>
      </c>
      <c r="B258" t="s">
        <v>13</v>
      </c>
      <c r="C258" t="s">
        <v>7</v>
      </c>
      <c r="D258">
        <v>-0.0139639</v>
      </c>
      <c r="E258">
        <v>0.042107</v>
      </c>
      <c r="F258" s="513">
        <f>D" + string(258) + " - (1.96 * E" + string(258) + ")</f>
      </c>
      <c r="G258" s="514">
        <f>D" + string(258) + " + (1.96 * E" + string(258) + ")</f>
      </c>
    </row>
    <row r="259">
      <c r="A259" t="s">
        <v>33</v>
      </c>
      <c r="B259" t="s">
        <v>13</v>
      </c>
      <c r="C259" t="s">
        <v>8</v>
      </c>
      <c r="D259">
        <v>-0.0052316</v>
      </c>
      <c r="E259">
        <v>0.0184224</v>
      </c>
      <c r="F259" s="515">
        <f>D" + string(259) + " - (1.96 * E" + string(259) + ")</f>
      </c>
      <c r="G259" s="516">
        <f>D" + string(259) + " + (1.96 * E" + string(259) + ")</f>
      </c>
    </row>
    <row r="260">
      <c r="A260" t="s">
        <v>33</v>
      </c>
      <c r="B260" t="s">
        <v>13</v>
      </c>
      <c r="C260" t="s">
        <v>9</v>
      </c>
      <c r="D260">
        <v>0.0077179</v>
      </c>
      <c r="E260">
        <v>0.015168</v>
      </c>
      <c r="F260" s="517">
        <f>D" + string(260) + " - (1.96 * E" + string(260) + ")</f>
      </c>
      <c r="G260" s="518">
        <f>D" + string(260) + " + (1.96 * E" + string(260) + ")</f>
      </c>
    </row>
    <row r="261">
      <c r="A261" t="s">
        <v>33</v>
      </c>
      <c r="B261" t="s">
        <v>13</v>
      </c>
      <c r="C261" t="s">
        <v>10</v>
      </c>
      <c r="D261">
        <v>10.92845</v>
      </c>
      <c r="E261">
        <v>20.67698</v>
      </c>
      <c r="F261" s="519">
        <f>D" + string(261) + " - (1.96 * E" + string(261) + ")</f>
      </c>
      <c r="G261" s="520">
        <f>D" + string(261) + " + (1.96 * E" + string(261) + ")</f>
      </c>
    </row>
    <row r="262">
      <c r="A262" t="s">
        <v>33</v>
      </c>
      <c r="B262" t="s">
        <v>14</v>
      </c>
      <c r="C262" t="s">
        <v>7</v>
      </c>
      <c r="D262">
        <v>-0.0168015</v>
      </c>
      <c r="E262">
        <v>0.0254956</v>
      </c>
      <c r="F262" s="521">
        <f>D" + string(262) + " - (1.96 * E" + string(262) + ")</f>
      </c>
      <c r="G262" s="522">
        <f>D" + string(262) + " + (1.96 * E" + string(262) + ")</f>
      </c>
    </row>
    <row r="263">
      <c r="A263" t="s">
        <v>33</v>
      </c>
      <c r="B263" t="s">
        <v>14</v>
      </c>
      <c r="C263" t="s">
        <v>8</v>
      </c>
      <c r="D263">
        <v>0.0041057</v>
      </c>
      <c r="E263">
        <v>0.0132418</v>
      </c>
      <c r="F263" s="523">
        <f>D" + string(263) + " - (1.96 * E" + string(263) + ")</f>
      </c>
      <c r="G263" s="524">
        <f>D" + string(263) + " + (1.96 * E" + string(263) + ")</f>
      </c>
    </row>
    <row r="264">
      <c r="A264" t="s">
        <v>33</v>
      </c>
      <c r="B264" t="s">
        <v>14</v>
      </c>
      <c r="C264" t="s">
        <v>9</v>
      </c>
      <c r="D264">
        <v>-0.0011608</v>
      </c>
      <c r="E264">
        <v>0.0014746</v>
      </c>
      <c r="F264" s="525">
        <f>D" + string(264) + " - (1.96 * E" + string(264) + ")</f>
      </c>
      <c r="G264" s="526">
        <f>D" + string(264) + " + (1.96 * E" + string(264) + ")</f>
      </c>
    </row>
    <row r="265">
      <c r="A265" t="s">
        <v>33</v>
      </c>
      <c r="B265" t="s">
        <v>14</v>
      </c>
      <c r="C265" t="s">
        <v>10</v>
      </c>
      <c r="D265">
        <v>5.229024</v>
      </c>
      <c r="E265">
        <v>38.78145</v>
      </c>
      <c r="F265" s="527">
        <f>D" + string(265) + " - (1.96 * E" + string(265) + ")</f>
      </c>
      <c r="G265" s="528">
        <f>D" + string(265) + " + (1.96 * E" + string(265) + ")</f>
      </c>
    </row>
    <row r="266">
      <c r="A266" t="s">
        <v>33</v>
      </c>
      <c r="B266" t="s">
        <v>15</v>
      </c>
      <c r="C266" t="s">
        <v>7</v>
      </c>
      <c r="D266">
        <v>0.0361677</v>
      </c>
      <c r="E266">
        <v>0.023517</v>
      </c>
      <c r="F266" s="529">
        <f>D" + string(266) + " - (1.96 * E" + string(266) + ")</f>
      </c>
      <c r="G266" s="530">
        <f>D" + string(266) + " + (1.96 * E" + string(266) + ")</f>
      </c>
    </row>
    <row r="267">
      <c r="A267" t="s">
        <v>33</v>
      </c>
      <c r="B267" t="s">
        <v>15</v>
      </c>
      <c r="C267" t="s">
        <v>8</v>
      </c>
      <c r="D267">
        <v>-0.0135645</v>
      </c>
      <c r="E267">
        <v>0.0181899</v>
      </c>
      <c r="F267" s="531">
        <f>D" + string(267) + " - (1.96 * E" + string(267) + ")</f>
      </c>
      <c r="G267" s="532">
        <f>D" + string(267) + " + (1.96 * E" + string(267) + ")</f>
      </c>
    </row>
    <row r="268">
      <c r="A268" t="s">
        <v>33</v>
      </c>
      <c r="B268" t="s">
        <v>15</v>
      </c>
      <c r="C268" t="s">
        <v>9</v>
      </c>
      <c r="D268">
        <v>-0.0039029</v>
      </c>
      <c r="E268">
        <v>0.0064371</v>
      </c>
      <c r="F268" s="533">
        <f>D" + string(268) + " - (1.96 * E" + string(268) + ")</f>
      </c>
      <c r="G268" s="534">
        <f>D" + string(268) + " + (1.96 * E" + string(268) + ")</f>
      </c>
    </row>
    <row r="269">
      <c r="A269" t="s">
        <v>33</v>
      </c>
      <c r="B269" t="s">
        <v>15</v>
      </c>
      <c r="C269" t="s">
        <v>10</v>
      </c>
      <c r="D269">
        <v>-3.443617</v>
      </c>
      <c r="E269">
        <v>12.05952</v>
      </c>
      <c r="F269" s="535">
        <f>D" + string(269) + " - (1.96 * E" + string(269) + ")</f>
      </c>
      <c r="G269" s="536">
        <f>D" + string(269) + " + (1.96 * E" + string(269) + ")</f>
      </c>
    </row>
    <row r="270">
      <c r="A270" t="s">
        <v>33</v>
      </c>
      <c r="B270" t="s">
        <v>16</v>
      </c>
      <c r="C270" t="s">
        <v>7</v>
      </c>
      <c r="D270">
        <v>0.0259339</v>
      </c>
      <c r="E270">
        <v>0.0314748</v>
      </c>
      <c r="F270" s="537">
        <f>D" + string(270) + " - (1.96 * E" + string(270) + ")</f>
      </c>
      <c r="G270" s="538">
        <f>D" + string(270) + " + (1.96 * E" + string(270) + ")</f>
      </c>
    </row>
    <row r="271">
      <c r="A271" t="s">
        <v>33</v>
      </c>
      <c r="B271" t="s">
        <v>16</v>
      </c>
      <c r="C271" t="s">
        <v>8</v>
      </c>
      <c r="D271">
        <v>-0.0112594</v>
      </c>
      <c r="E271">
        <v>0.0126394</v>
      </c>
      <c r="F271" s="539">
        <f>D" + string(271) + " - (1.96 * E" + string(271) + ")</f>
      </c>
      <c r="G271" s="540">
        <f>D" + string(271) + " + (1.96 * E" + string(271) + ")</f>
      </c>
    </row>
    <row r="272">
      <c r="A272" t="s">
        <v>33</v>
      </c>
      <c r="B272" t="s">
        <v>16</v>
      </c>
      <c r="C272" t="s">
        <v>9</v>
      </c>
      <c r="D272">
        <v>0.0016077</v>
      </c>
      <c r="E272">
        <v>0.0048837</v>
      </c>
      <c r="F272" s="541">
        <f>D" + string(272) + " - (1.96 * E" + string(272) + ")</f>
      </c>
      <c r="G272" s="542">
        <f>D" + string(272) + " + (1.96 * E" + string(272) + ")</f>
      </c>
    </row>
    <row r="273">
      <c r="A273" t="s">
        <v>33</v>
      </c>
      <c r="B273" t="s">
        <v>16</v>
      </c>
      <c r="C273" t="s">
        <v>10</v>
      </c>
      <c r="D273">
        <v>-15.95257</v>
      </c>
      <c r="E273">
        <v>64.06813</v>
      </c>
      <c r="F273" s="543">
        <f>D" + string(273) + " - (1.96 * E" + string(273) + ")</f>
      </c>
      <c r="G273" s="544">
        <f>D" + string(273) + " + (1.96 * E" + string(273) + ")</f>
      </c>
    </row>
    <row r="274">
      <c r="A274" t="s">
        <v>33</v>
      </c>
      <c r="B274" t="s">
        <v>30</v>
      </c>
      <c r="C274" t="s">
        <v>7</v>
      </c>
      <c r="D274">
        <v>-0.1263383</v>
      </c>
      <c r="E274">
        <v>0.0892918</v>
      </c>
      <c r="F274" s="545">
        <f>D" + string(274) + " - (1.96 * E" + string(274) + ")</f>
      </c>
      <c r="G274" s="546">
        <f>D" + string(274) + " + (1.96 * E" + string(274) + ")</f>
      </c>
    </row>
    <row r="275">
      <c r="A275" t="s">
        <v>33</v>
      </c>
      <c r="B275" t="s">
        <v>30</v>
      </c>
      <c r="C275" t="s">
        <v>8</v>
      </c>
      <c r="D275">
        <v>0.0029569</v>
      </c>
      <c r="E275">
        <v>0.0058497</v>
      </c>
      <c r="F275" s="547">
        <f>D" + string(275) + " - (1.96 * E" + string(275) + ")</f>
      </c>
      <c r="G275" s="548">
        <f>D" + string(275) + " + (1.96 * E" + string(275) + ")</f>
      </c>
    </row>
    <row r="276">
      <c r="A276" t="s">
        <v>33</v>
      </c>
      <c r="B276" t="s">
        <v>30</v>
      </c>
      <c r="C276" t="s">
        <v>9</v>
      </c>
      <c r="D276">
        <v>-0.000401</v>
      </c>
      <c r="E276">
        <v>0.0059217</v>
      </c>
      <c r="F276" s="549">
        <f>D" + string(276) + " - (1.96 * E" + string(276) + ")</f>
      </c>
      <c r="G276" s="550">
        <f>D" + string(276) + " + (1.96 * E" + string(276) + ")</f>
      </c>
    </row>
    <row r="277">
      <c r="A277" t="s">
        <v>33</v>
      </c>
      <c r="B277" t="s">
        <v>30</v>
      </c>
      <c r="C277" t="s">
        <v>10</v>
      </c>
      <c r="D277">
        <v>0.7828477</v>
      </c>
      <c r="E277">
        <v>5.015336</v>
      </c>
      <c r="F277" s="551">
        <f>D" + string(277) + " - (1.96 * E" + string(277) + ")</f>
      </c>
      <c r="G277" s="552">
        <f>D" + string(277) + " + (1.96 * E" + string(277) + ")</f>
      </c>
    </row>
    <row r="278">
      <c r="A278" t="s">
        <v>33</v>
      </c>
      <c r="B278" t="s">
        <v>17</v>
      </c>
      <c r="C278" t="s">
        <v>7</v>
      </c>
      <c r="D278">
        <v>0.0478689</v>
      </c>
      <c r="E278">
        <v>0.015923</v>
      </c>
      <c r="F278" s="553">
        <f>D" + string(278) + " - (1.96 * E" + string(278) + ")</f>
      </c>
      <c r="G278" s="554">
        <f>D" + string(278) + " + (1.96 * E" + string(278) + ")</f>
      </c>
    </row>
    <row r="279">
      <c r="A279" t="s">
        <v>33</v>
      </c>
      <c r="B279" t="s">
        <v>17</v>
      </c>
      <c r="C279" t="s">
        <v>8</v>
      </c>
      <c r="D279">
        <v>-0.0046994</v>
      </c>
      <c r="E279">
        <v>0.0114163</v>
      </c>
      <c r="F279" s="555">
        <f>D" + string(279) + " - (1.96 * E" + string(279) + ")</f>
      </c>
      <c r="G279" s="556">
        <f>D" + string(279) + " + (1.96 * E" + string(279) + ")</f>
      </c>
    </row>
    <row r="280">
      <c r="A280" t="s">
        <v>33</v>
      </c>
      <c r="B280" t="s">
        <v>17</v>
      </c>
      <c r="C280" t="s">
        <v>9</v>
      </c>
      <c r="D280">
        <v>0.0012022</v>
      </c>
      <c r="E280">
        <v>0.0048449</v>
      </c>
      <c r="F280" s="557">
        <f>D" + string(280) + " - (1.96 * E" + string(280) + ")</f>
      </c>
      <c r="G280" s="558">
        <f>D" + string(280) + " + (1.96 * E" + string(280) + ")</f>
      </c>
    </row>
    <row r="281">
      <c r="A281" t="s">
        <v>33</v>
      </c>
      <c r="B281" t="s">
        <v>17</v>
      </c>
      <c r="C281" t="s">
        <v>10</v>
      </c>
      <c r="D281">
        <v>25.2673</v>
      </c>
      <c r="E281">
        <v>36.53265</v>
      </c>
      <c r="F281" s="559">
        <f>D" + string(281) + " - (1.96 * E" + string(281) + ")</f>
      </c>
      <c r="G281" s="560">
        <f>D" + string(281) + " + (1.96 * E" + string(281) + ")</f>
      </c>
    </row>
    <row r="282">
      <c r="A282" t="s">
        <v>33</v>
      </c>
      <c r="B282" t="s">
        <v>18</v>
      </c>
      <c r="C282" t="s">
        <v>7</v>
      </c>
      <c r="D282">
        <v>0.0064127</v>
      </c>
      <c r="E282">
        <v>0.0187181</v>
      </c>
      <c r="F282" s="561">
        <f>D" + string(282) + " - (1.96 * E" + string(282) + ")</f>
      </c>
      <c r="G282" s="562">
        <f>D" + string(282) + " + (1.96 * E" + string(282) + ")</f>
      </c>
    </row>
    <row r="283">
      <c r="A283" t="s">
        <v>33</v>
      </c>
      <c r="B283" t="s">
        <v>18</v>
      </c>
      <c r="C283" t="s">
        <v>8</v>
      </c>
      <c r="D283">
        <v>-0.0005343</v>
      </c>
      <c r="E283">
        <v>0.0017169</v>
      </c>
      <c r="F283" s="563">
        <f>D" + string(283) + " - (1.96 * E" + string(283) + ")</f>
      </c>
      <c r="G283" s="564">
        <f>D" + string(283) + " + (1.96 * E" + string(283) + ")</f>
      </c>
    </row>
    <row r="284">
      <c r="A284" t="s">
        <v>33</v>
      </c>
      <c r="B284" t="s">
        <v>18</v>
      </c>
      <c r="C284" t="s">
        <v>9</v>
      </c>
      <c r="D284">
        <v>0.0011392</v>
      </c>
      <c r="E284">
        <v>0.0009064</v>
      </c>
      <c r="F284" s="565">
        <f>D" + string(284) + " - (1.96 * E" + string(284) + ")</f>
      </c>
      <c r="G284" s="566">
        <f>D" + string(284) + " + (1.96 * E" + string(284) + ")</f>
      </c>
    </row>
    <row r="285">
      <c r="A285" t="s">
        <v>33</v>
      </c>
      <c r="B285" t="s">
        <v>18</v>
      </c>
      <c r="C285" t="s">
        <v>10</v>
      </c>
      <c r="D285">
        <v>0.2165425</v>
      </c>
      <c r="E285">
        <v>16.34104</v>
      </c>
      <c r="F285" s="567">
        <f>D" + string(285) + " - (1.96 * E" + string(285) + ")</f>
      </c>
      <c r="G285" s="568">
        <f>D" + string(285) + " + (1.96 * E" + string(285) + ")</f>
      </c>
    </row>
    <row r="286">
      <c r="A286" t="s">
        <v>33</v>
      </c>
      <c r="B286" t="s">
        <v>19</v>
      </c>
      <c r="C286" t="s">
        <v>7</v>
      </c>
      <c r="D286">
        <v>-0.0402094</v>
      </c>
      <c r="E286">
        <v>0.0953166</v>
      </c>
      <c r="F286" s="569">
        <f>D" + string(286) + " - (1.96 * E" + string(286) + ")</f>
      </c>
      <c r="G286" s="570">
        <f>D" + string(286) + " + (1.96 * E" + string(286) + ")</f>
      </c>
    </row>
    <row r="287">
      <c r="A287" t="s">
        <v>33</v>
      </c>
      <c r="B287" t="s">
        <v>19</v>
      </c>
      <c r="C287" t="s">
        <v>8</v>
      </c>
      <c r="D287">
        <v>-0.0215376</v>
      </c>
      <c r="E287">
        <v>0.0241834</v>
      </c>
      <c r="F287" s="571">
        <f>D" + string(287) + " - (1.96 * E" + string(287) + ")</f>
      </c>
      <c r="G287" s="572">
        <f>D" + string(287) + " + (1.96 * E" + string(287) + ")</f>
      </c>
    </row>
    <row r="288">
      <c r="A288" t="s">
        <v>33</v>
      </c>
      <c r="B288" t="s">
        <v>19</v>
      </c>
      <c r="C288" t="s">
        <v>9</v>
      </c>
      <c r="D288">
        <v>-0.0099553</v>
      </c>
      <c r="E288">
        <v>0.0119459</v>
      </c>
      <c r="F288" s="573">
        <f>D" + string(288) + " - (1.96 * E" + string(288) + ")</f>
      </c>
      <c r="G288" s="574">
        <f>D" + string(288) + " + (1.96 * E" + string(288) + ")</f>
      </c>
    </row>
    <row r="289">
      <c r="A289" t="s">
        <v>33</v>
      </c>
      <c r="B289" t="s">
        <v>19</v>
      </c>
      <c r="C289" t="s">
        <v>10</v>
      </c>
      <c r="D289">
        <v>-39.12032</v>
      </c>
      <c r="E289">
        <v>17.37623</v>
      </c>
      <c r="F289" s="575">
        <f>D" + string(289) + " - (1.96 * E" + string(289) + ")</f>
      </c>
      <c r="G289" s="576">
        <f>D" + string(289) + " + (1.96 * E" + string(289) + ")</f>
      </c>
    </row>
    <row r="290">
      <c r="A290" t="s">
        <v>33</v>
      </c>
      <c r="B290" t="s">
        <v>20</v>
      </c>
      <c r="C290" t="s">
        <v>7</v>
      </c>
      <c r="D290">
        <v>-0.0109983</v>
      </c>
      <c r="E290">
        <v>0.0320778</v>
      </c>
      <c r="F290" s="577">
        <f>D" + string(290) + " - (1.96 * E" + string(290) + ")</f>
      </c>
      <c r="G290" s="578">
        <f>D" + string(290) + " + (1.96 * E" + string(290) + ")</f>
      </c>
    </row>
    <row r="291">
      <c r="A291" t="s">
        <v>33</v>
      </c>
      <c r="B291" t="s">
        <v>20</v>
      </c>
      <c r="C291" t="s">
        <v>8</v>
      </c>
      <c r="D291">
        <v>0.0039685</v>
      </c>
      <c r="E291">
        <v>0.006084</v>
      </c>
      <c r="F291" s="579">
        <f>D" + string(291) + " - (1.96 * E" + string(291) + ")</f>
      </c>
      <c r="G291" s="580">
        <f>D" + string(291) + " + (1.96 * E" + string(291) + ")</f>
      </c>
    </row>
    <row r="292">
      <c r="A292" t="s">
        <v>33</v>
      </c>
      <c r="B292" t="s">
        <v>20</v>
      </c>
      <c r="C292" t="s">
        <v>9</v>
      </c>
      <c r="D292">
        <v>-0.0004148</v>
      </c>
      <c r="E292">
        <v>0.0006421</v>
      </c>
      <c r="F292" s="581">
        <f>D" + string(292) + " - (1.96 * E" + string(292) + ")</f>
      </c>
      <c r="G292" s="582">
        <f>D" + string(292) + " + (1.96 * E" + string(292) + ")</f>
      </c>
    </row>
    <row r="293">
      <c r="A293" t="s">
        <v>33</v>
      </c>
      <c r="B293" t="s">
        <v>20</v>
      </c>
      <c r="C293" t="s">
        <v>10</v>
      </c>
      <c r="D293">
        <v>-3.27855</v>
      </c>
      <c r="E293">
        <v>1.25106</v>
      </c>
      <c r="F293" s="583">
        <f>D" + string(293) + " - (1.96 * E" + string(293) + ")</f>
      </c>
      <c r="G293" s="584">
        <f>D" + string(293) + " + (1.96 * E" + string(293) + ")</f>
      </c>
    </row>
    <row r="294">
      <c r="A294" t="s">
        <v>33</v>
      </c>
      <c r="B294" t="s">
        <v>21</v>
      </c>
      <c r="C294" t="s">
        <v>7</v>
      </c>
      <c r="D294">
        <v>-0.1264297</v>
      </c>
      <c r="E294">
        <v>0.077588</v>
      </c>
      <c r="F294" s="585">
        <f>D" + string(294) + " - (1.96 * E" + string(294) + ")</f>
      </c>
      <c r="G294" s="586">
        <f>D" + string(294) + " + (1.96 * E" + string(294) + ")</f>
      </c>
    </row>
    <row r="295">
      <c r="A295" t="s">
        <v>33</v>
      </c>
      <c r="B295" t="s">
        <v>21</v>
      </c>
      <c r="C295" t="s">
        <v>8</v>
      </c>
      <c r="D295">
        <v>-0.0001133</v>
      </c>
      <c r="E295">
        <v>0.0153354</v>
      </c>
      <c r="F295" s="587">
        <f>D" + string(295) + " - (1.96 * E" + string(295) + ")</f>
      </c>
      <c r="G295" s="588">
        <f>D" + string(295) + " + (1.96 * E" + string(295) + ")</f>
      </c>
    </row>
    <row r="296">
      <c r="A296" t="s">
        <v>33</v>
      </c>
      <c r="B296" t="s">
        <v>21</v>
      </c>
      <c r="C296" t="s">
        <v>9</v>
      </c>
      <c r="D296">
        <v>0.0127339</v>
      </c>
      <c r="E296">
        <v>0.0036521</v>
      </c>
      <c r="F296" s="589">
        <f>D" + string(296) + " - (1.96 * E" + string(296) + ")</f>
      </c>
      <c r="G296" s="590">
        <f>D" + string(296) + " + (1.96 * E" + string(296) + ")</f>
      </c>
    </row>
    <row r="297">
      <c r="A297" t="s">
        <v>33</v>
      </c>
      <c r="B297" t="s">
        <v>21</v>
      </c>
      <c r="C297" t="s">
        <v>10</v>
      </c>
      <c r="D297">
        <v>-4.712701</v>
      </c>
      <c r="E297">
        <v>5.250809</v>
      </c>
      <c r="F297" s="591">
        <f>D" + string(297) + " - (1.96 * E" + string(297) + ")</f>
      </c>
      <c r="G297" s="592">
        <f>D" + string(297) + " + (1.96 * E" + string(297) + ")</f>
      </c>
    </row>
    <row r="298">
      <c r="A298" t="s">
        <v>33</v>
      </c>
      <c r="B298" t="s">
        <v>22</v>
      </c>
      <c r="C298" t="s">
        <v>7</v>
      </c>
      <c r="D298">
        <v>0.0560774</v>
      </c>
      <c r="E298">
        <v>0.06278540000000001</v>
      </c>
      <c r="F298" s="593">
        <f>D" + string(298) + " - (1.96 * E" + string(298) + ")</f>
      </c>
      <c r="G298" s="594">
        <f>D" + string(298) + " + (1.96 * E" + string(298) + ")</f>
      </c>
    </row>
    <row r="299">
      <c r="A299" t="s">
        <v>33</v>
      </c>
      <c r="B299" t="s">
        <v>22</v>
      </c>
      <c r="C299" t="s">
        <v>8</v>
      </c>
      <c r="D299">
        <v>-0.007869299999999999</v>
      </c>
      <c r="E299">
        <v>0.0085275</v>
      </c>
      <c r="F299" s="595">
        <f>D" + string(299) + " - (1.96 * E" + string(299) + ")</f>
      </c>
      <c r="G299" s="596">
        <f>D" + string(299) + " + (1.96 * E" + string(299) + ")</f>
      </c>
    </row>
    <row r="300">
      <c r="A300" t="s">
        <v>33</v>
      </c>
      <c r="B300" t="s">
        <v>22</v>
      </c>
      <c r="C300" t="s">
        <v>9</v>
      </c>
      <c r="D300">
        <v>-0.0001027</v>
      </c>
      <c r="E300">
        <v>0.0022867</v>
      </c>
      <c r="F300" s="597">
        <f>D" + string(300) + " - (1.96 * E" + string(300) + ")</f>
      </c>
      <c r="G300" s="598">
        <f>D" + string(300) + " + (1.96 * E" + string(300) + ")</f>
      </c>
    </row>
    <row r="301">
      <c r="A301" t="s">
        <v>33</v>
      </c>
      <c r="B301" t="s">
        <v>22</v>
      </c>
      <c r="C301" t="s">
        <v>10</v>
      </c>
      <c r="D301">
        <v>23.20594</v>
      </c>
      <c r="E301">
        <v>26.64174</v>
      </c>
      <c r="F301" s="599">
        <f>D" + string(301) + " - (1.96 * E" + string(301) + ")</f>
      </c>
      <c r="G301" s="600">
        <f>D" + string(301) + " + (1.96 * E" + string(301) + ")</f>
      </c>
    </row>
    <row r="302">
      <c r="A302" t="s">
        <v>33</v>
      </c>
      <c r="B302" t="s">
        <v>23</v>
      </c>
      <c r="C302" t="s">
        <v>7</v>
      </c>
      <c r="D302">
        <v>-0.0140642</v>
      </c>
      <c r="E302">
        <v>0.0125432</v>
      </c>
      <c r="F302" s="601">
        <f>D" + string(302) + " - (1.96 * E" + string(302) + ")</f>
      </c>
      <c r="G302" s="602">
        <f>D" + string(302) + " + (1.96 * E" + string(302) + ")</f>
      </c>
    </row>
    <row r="303">
      <c r="A303" t="s">
        <v>33</v>
      </c>
      <c r="B303" t="s">
        <v>23</v>
      </c>
      <c r="C303" t="s">
        <v>8</v>
      </c>
      <c r="D303">
        <v>0.0180693</v>
      </c>
      <c r="E303">
        <v>0.017188</v>
      </c>
      <c r="F303" s="603">
        <f>D" + string(303) + " - (1.96 * E" + string(303) + ")</f>
      </c>
      <c r="G303" s="604">
        <f>D" + string(303) + " + (1.96 * E" + string(303) + ")</f>
      </c>
    </row>
    <row r="304">
      <c r="A304" t="s">
        <v>33</v>
      </c>
      <c r="B304" t="s">
        <v>23</v>
      </c>
      <c r="C304" t="s">
        <v>9</v>
      </c>
      <c r="D304">
        <v>0.009817299999999999</v>
      </c>
      <c r="E304">
        <v>0.008564799999999999</v>
      </c>
      <c r="F304" s="605">
        <f>D" + string(304) + " - (1.96 * E" + string(304) + ")</f>
      </c>
      <c r="G304" s="606">
        <f>D" + string(304) + " + (1.96 * E" + string(304) + ")</f>
      </c>
    </row>
    <row r="305">
      <c r="A305" t="s">
        <v>33</v>
      </c>
      <c r="B305" t="s">
        <v>23</v>
      </c>
      <c r="C305" t="s">
        <v>10</v>
      </c>
      <c r="D305">
        <v>-43.17835</v>
      </c>
      <c r="E305">
        <v>25.10999</v>
      </c>
      <c r="F305" s="607">
        <f>D" + string(305) + " - (1.96 * E" + string(305) + ")</f>
      </c>
      <c r="G305" s="608">
        <f>D" + string(305) + " + (1.96 * E" + string(305) + ")</f>
      </c>
    </row>
    <row r="306">
      <c r="A306" t="s">
        <v>33</v>
      </c>
      <c r="B306" t="s">
        <v>24</v>
      </c>
      <c r="C306" t="s">
        <v>7</v>
      </c>
      <c r="D306">
        <v>-0.009626900000000001</v>
      </c>
      <c r="E306">
        <v>0.0050966</v>
      </c>
      <c r="F306" s="609">
        <f>D" + string(306) + " - (1.96 * E" + string(306) + ")</f>
      </c>
      <c r="G306" s="610">
        <f>D" + string(306) + " + (1.96 * E" + string(306) + ")</f>
      </c>
    </row>
    <row r="307">
      <c r="A307" t="s">
        <v>33</v>
      </c>
      <c r="B307" t="s">
        <v>24</v>
      </c>
      <c r="C307" t="s">
        <v>8</v>
      </c>
      <c r="D307">
        <v>0.0107402</v>
      </c>
      <c r="E307">
        <v>0.0069266</v>
      </c>
      <c r="F307" s="611">
        <f>D" + string(307) + " - (1.96 * E" + string(307) + ")</f>
      </c>
      <c r="G307" s="612">
        <f>D" + string(307) + " + (1.96 * E" + string(307) + ")</f>
      </c>
    </row>
    <row r="308">
      <c r="A308" t="s">
        <v>33</v>
      </c>
      <c r="B308" t="s">
        <v>24</v>
      </c>
      <c r="C308" t="s">
        <v>9</v>
      </c>
      <c r="D308">
        <v>0.0025133</v>
      </c>
      <c r="E308">
        <v>0.0025787</v>
      </c>
      <c r="F308" s="613">
        <f>D" + string(308) + " - (1.96 * E" + string(308) + ")</f>
      </c>
      <c r="G308" s="614">
        <f>D" + string(308) + " + (1.96 * E" + string(308) + ")</f>
      </c>
    </row>
    <row r="309">
      <c r="A309" t="s">
        <v>33</v>
      </c>
      <c r="B309" t="s">
        <v>24</v>
      </c>
      <c r="C309" t="s">
        <v>10</v>
      </c>
      <c r="D309">
        <v>-43.83987</v>
      </c>
      <c r="E309">
        <v>105.958</v>
      </c>
      <c r="F309" s="615">
        <f>D" + string(309) + " - (1.96 * E" + string(309) + ")</f>
      </c>
      <c r="G309" s="616">
        <f>D" + string(309) + " + (1.96 * E" + string(309) + ")</f>
      </c>
    </row>
    <row r="310">
      <c r="A310" t="s">
        <v>33</v>
      </c>
      <c r="B310" t="s">
        <v>25</v>
      </c>
      <c r="C310" t="s">
        <v>7</v>
      </c>
      <c r="D310">
        <v>-0.0793148</v>
      </c>
      <c r="E310">
        <v>0.0494535</v>
      </c>
      <c r="F310" s="617">
        <f>D" + string(310) + " - (1.96 * E" + string(310) + ")</f>
      </c>
      <c r="G310" s="618">
        <f>D" + string(310) + " + (1.96 * E" + string(310) + ")</f>
      </c>
    </row>
    <row r="311">
      <c r="A311" t="s">
        <v>33</v>
      </c>
      <c r="B311" t="s">
        <v>25</v>
      </c>
      <c r="C311" t="s">
        <v>8</v>
      </c>
      <c r="D311">
        <v>-0.0077418</v>
      </c>
      <c r="E311">
        <v>0.0054301</v>
      </c>
      <c r="F311" s="619">
        <f>D" + string(311) + " - (1.96 * E" + string(311) + ")</f>
      </c>
      <c r="G311" s="620">
        <f>D" + string(311) + " + (1.96 * E" + string(311) + ")</f>
      </c>
    </row>
    <row r="312">
      <c r="A312" t="s">
        <v>33</v>
      </c>
      <c r="B312" t="s">
        <v>25</v>
      </c>
      <c r="C312" t="s">
        <v>9</v>
      </c>
      <c r="D312">
        <v>-0.0005061</v>
      </c>
      <c r="E312">
        <v>0.0023842</v>
      </c>
      <c r="F312" s="621">
        <f>D" + string(312) + " - (1.96 * E" + string(312) + ")</f>
      </c>
      <c r="G312" s="622">
        <f>D" + string(312) + " + (1.96 * E" + string(312) + ")</f>
      </c>
    </row>
    <row r="313">
      <c r="A313" t="s">
        <v>33</v>
      </c>
      <c r="B313" t="s">
        <v>25</v>
      </c>
      <c r="C313" t="s">
        <v>10</v>
      </c>
      <c r="D313">
        <v>-20.03224</v>
      </c>
      <c r="E313">
        <v>12.16699</v>
      </c>
      <c r="F313" s="623">
        <f>D" + string(313) + " - (1.96 * E" + string(313) + ")</f>
      </c>
      <c r="G313" s="624">
        <f>D" + string(313) + " + (1.96 * E" + string(313) + ")</f>
      </c>
    </row>
    <row r="314">
      <c r="A314" t="s">
        <v>33</v>
      </c>
      <c r="B314" t="s">
        <v>26</v>
      </c>
      <c r="C314" t="s">
        <v>7</v>
      </c>
      <c r="D314">
        <v>-0.0016325</v>
      </c>
      <c r="E314">
        <v>0.0123957</v>
      </c>
      <c r="F314" s="625">
        <f>D" + string(314) + " - (1.96 * E" + string(314) + ")</f>
      </c>
      <c r="G314" s="626">
        <f>D" + string(314) + " + (1.96 * E" + string(314) + ")</f>
      </c>
    </row>
    <row r="315">
      <c r="A315" t="s">
        <v>33</v>
      </c>
      <c r="B315" t="s">
        <v>26</v>
      </c>
      <c r="C315" t="s">
        <v>8</v>
      </c>
      <c r="D315">
        <v>-0.0214805</v>
      </c>
      <c r="E315">
        <v>0.0144001</v>
      </c>
      <c r="F315" s="627">
        <f>D" + string(315) + " - (1.96 * E" + string(315) + ")</f>
      </c>
      <c r="G315" s="628">
        <f>D" + string(315) + " + (1.96 * E" + string(315) + ")</f>
      </c>
    </row>
    <row r="316">
      <c r="A316" t="s">
        <v>33</v>
      </c>
      <c r="B316" t="s">
        <v>26</v>
      </c>
      <c r="C316" t="s">
        <v>9</v>
      </c>
      <c r="D316">
        <v>-0.008448799999999999</v>
      </c>
      <c r="E316">
        <v>0.0048692</v>
      </c>
      <c r="F316" s="629">
        <f>D" + string(316) + " - (1.96 * E" + string(316) + ")</f>
      </c>
      <c r="G316" s="630">
        <f>D" + string(316) + " + (1.96 * E" + string(316) + ")</f>
      </c>
    </row>
    <row r="317">
      <c r="A317" t="s">
        <v>33</v>
      </c>
      <c r="B317" t="s">
        <v>26</v>
      </c>
      <c r="C317" t="s">
        <v>10</v>
      </c>
      <c r="D317">
        <v>63.81494</v>
      </c>
      <c r="E317">
        <v>72.94893999999999</v>
      </c>
      <c r="F317" s="631">
        <f>D" + string(317) + " - (1.96 * E" + string(317) + ")</f>
      </c>
      <c r="G317" s="632">
        <f>D" + string(317) + " + (1.96 * E" + string(317) + ")</f>
      </c>
    </row>
    <row r="318">
      <c r="A318" t="s">
        <v>33</v>
      </c>
      <c r="B318" t="s">
        <v>27</v>
      </c>
      <c r="C318" t="s">
        <v>7</v>
      </c>
      <c r="D318">
        <v>0.0267825</v>
      </c>
      <c r="E318">
        <v>0.0778896</v>
      </c>
      <c r="F318" s="633">
        <f>D" + string(318) + " - (1.96 * E" + string(318) + ")</f>
      </c>
      <c r="G318" s="634">
        <f>D" + string(318) + " + (1.96 * E" + string(318) + ")</f>
      </c>
    </row>
    <row r="319">
      <c r="A319" t="s">
        <v>33</v>
      </c>
      <c r="B319" t="s">
        <v>27</v>
      </c>
      <c r="C319" t="s">
        <v>8</v>
      </c>
      <c r="D319">
        <v>0.0006022</v>
      </c>
      <c r="E319">
        <v>0.010147</v>
      </c>
      <c r="F319" s="635">
        <f>D" + string(319) + " - (1.96 * E" + string(319) + ")</f>
      </c>
      <c r="G319" s="636">
        <f>D" + string(319) + " + (1.96 * E" + string(319) + ")</f>
      </c>
    </row>
    <row r="320">
      <c r="A320" t="s">
        <v>33</v>
      </c>
      <c r="B320" t="s">
        <v>27</v>
      </c>
      <c r="C320" t="s">
        <v>9</v>
      </c>
      <c r="D320">
        <v>-0.0027011</v>
      </c>
      <c r="E320">
        <v>0.0054454</v>
      </c>
      <c r="F320" s="637">
        <f>D" + string(320) + " - (1.96 * E" + string(320) + ")</f>
      </c>
      <c r="G320" s="638">
        <f>D" + string(320) + " + (1.96 * E" + string(320) + ")</f>
      </c>
    </row>
    <row r="321">
      <c r="A321" t="s">
        <v>33</v>
      </c>
      <c r="B321" t="s">
        <v>27</v>
      </c>
      <c r="C321" t="s">
        <v>10</v>
      </c>
      <c r="D321">
        <v>12.68437</v>
      </c>
      <c r="E321">
        <v>47.51635</v>
      </c>
      <c r="F321" s="639">
        <f>D" + string(321) + " - (1.96 * E" + string(321) + ")</f>
      </c>
      <c r="G321" s="640">
        <f>D" + string(321) + " + (1.96 * E" + string(321) + ")</f>
      </c>
    </row>
    <row r="322">
      <c r="A322" t="s">
        <v>33</v>
      </c>
      <c r="B322" t="s">
        <v>28</v>
      </c>
      <c r="C322" t="s">
        <v>7</v>
      </c>
      <c r="D322">
        <v>0.0755625</v>
      </c>
      <c r="E322">
        <v>0.0295807</v>
      </c>
      <c r="F322" s="641">
        <f>D" + string(322) + " - (1.96 * E" + string(322) + ")</f>
      </c>
      <c r="G322" s="642">
        <f>D" + string(322) + " + (1.96 * E" + string(322) + ")</f>
      </c>
    </row>
    <row r="323">
      <c r="A323" t="s">
        <v>33</v>
      </c>
      <c r="B323" t="s">
        <v>28</v>
      </c>
      <c r="C323" t="s">
        <v>8</v>
      </c>
      <c r="D323">
        <v>-0.077375</v>
      </c>
      <c r="E323">
        <v>0.0353533</v>
      </c>
      <c r="F323" s="643">
        <f>D" + string(323) + " - (1.96 * E" + string(323) + ")</f>
      </c>
      <c r="G323" s="644">
        <f>D" + string(323) + " + (1.96 * E" + string(323) + ")</f>
      </c>
    </row>
    <row r="324">
      <c r="A324" t="s">
        <v>33</v>
      </c>
      <c r="B324" t="s">
        <v>28</v>
      </c>
      <c r="C324" t="s">
        <v>9</v>
      </c>
      <c r="D324">
        <v>-0.0335915</v>
      </c>
      <c r="E324">
        <v>0.0195843</v>
      </c>
      <c r="F324" s="645">
        <f>D" + string(324) + " - (1.96 * E" + string(324) + ")</f>
      </c>
      <c r="G324" s="646">
        <f>D" + string(324) + " + (1.96 * E" + string(324) + ")</f>
      </c>
    </row>
    <row r="325">
      <c r="A325" t="s">
        <v>33</v>
      </c>
      <c r="B325" t="s">
        <v>28</v>
      </c>
      <c r="C325" t="s">
        <v>10</v>
      </c>
      <c r="D325">
        <v>4.327423</v>
      </c>
      <c r="E325">
        <v>6.304942</v>
      </c>
      <c r="F325" s="647">
        <f>D" + string(325) + " - (1.96 * E" + string(325) + ")</f>
      </c>
      <c r="G325" s="648">
        <f>D" + string(325) + " + (1.96 * E" + string(325) + ")</f>
      </c>
    </row>
  </sheetData>
</worksheet>
</file>