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ze\Downloads\"/>
    </mc:Choice>
  </mc:AlternateContent>
  <xr:revisionPtr revIDLastSave="0" documentId="13_ncr:1_{B55CBC1C-A5A2-4FD0-8FEF-682BDEED34D1}" xr6:coauthVersionLast="47" xr6:coauthVersionMax="47" xr10:uidLastSave="{00000000-0000-0000-0000-000000000000}"/>
  <bookViews>
    <workbookView xWindow="13260" yWindow="3285" windowWidth="24390" windowHeight="15345" xr2:uid="{5EACC97E-F191-4809-9B3F-DCE02DF65653}"/>
  </bookViews>
  <sheets>
    <sheet name="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6" i="2" l="1"/>
  <c r="E57" i="2"/>
  <c r="C38" i="2"/>
  <c r="D38" i="2"/>
  <c r="N59" i="2"/>
  <c r="G59" i="2"/>
  <c r="F59" i="2"/>
  <c r="H59" i="2"/>
  <c r="I59" i="2" s="1"/>
  <c r="J59" i="2" s="1"/>
  <c r="K59" i="2" s="1"/>
  <c r="L59" i="2" s="1"/>
  <c r="M59" i="2" s="1"/>
  <c r="E59" i="2"/>
  <c r="C63" i="2"/>
  <c r="C62" i="2"/>
  <c r="C31" i="2"/>
  <c r="C36" i="2" l="1"/>
  <c r="F24" i="2"/>
  <c r="F23" i="2"/>
  <c r="B24" i="2" s="1"/>
  <c r="H45" i="2" l="1"/>
  <c r="I45" i="2" s="1"/>
  <c r="G45" i="2"/>
  <c r="H52" i="2" s="1"/>
  <c r="F45" i="2"/>
  <c r="F46" i="2" s="1"/>
  <c r="D44" i="2"/>
  <c r="D55" i="2" s="1"/>
  <c r="D31" i="2"/>
  <c r="D36" i="2" s="1"/>
  <c r="F47" i="2" l="1"/>
  <c r="F51" i="2" s="1"/>
  <c r="G47" i="2"/>
  <c r="G51" i="2" s="1"/>
  <c r="D57" i="2"/>
  <c r="H47" i="2"/>
  <c r="J47" i="2"/>
  <c r="J51" i="2" s="1"/>
  <c r="K47" i="2"/>
  <c r="K51" i="2" s="1"/>
  <c r="M47" i="2"/>
  <c r="M51" i="2" s="1"/>
  <c r="N47" i="2"/>
  <c r="N51" i="2" s="1"/>
  <c r="C32" i="2"/>
  <c r="C33" i="2" s="1"/>
  <c r="C34" i="2" s="1"/>
  <c r="E31" i="2"/>
  <c r="D32" i="2"/>
  <c r="D33" i="2" s="1"/>
  <c r="H46" i="2"/>
  <c r="F31" i="2"/>
  <c r="F36" i="2" s="1"/>
  <c r="I47" i="2"/>
  <c r="I51" i="2" s="1"/>
  <c r="L47" i="2"/>
  <c r="L51" i="2" s="1"/>
  <c r="G46" i="2"/>
  <c r="F52" i="2"/>
  <c r="G52" i="2"/>
  <c r="H48" i="2" l="1"/>
  <c r="H49" i="2" s="1"/>
  <c r="H51" i="2"/>
  <c r="E32" i="2"/>
  <c r="E33" i="2" s="1"/>
  <c r="E36" i="2"/>
  <c r="G48" i="2"/>
  <c r="F48" i="2"/>
  <c r="F49" i="2" s="1"/>
  <c r="F50" i="2" s="1"/>
  <c r="F55" i="2" s="1"/>
  <c r="D34" i="2"/>
  <c r="D35" i="2" s="1"/>
  <c r="H50" i="2"/>
  <c r="H55" i="2" s="1"/>
  <c r="I46" i="2"/>
  <c r="I48" i="2" s="1"/>
  <c r="I49" i="2" s="1"/>
  <c r="I50" i="2" s="1"/>
  <c r="J45" i="2"/>
  <c r="I52" i="2"/>
  <c r="G49" i="2"/>
  <c r="G50" i="2" s="1"/>
  <c r="G55" i="2" s="1"/>
  <c r="C35" i="2"/>
  <c r="G31" i="2"/>
  <c r="G36" i="2" s="1"/>
  <c r="F32" i="2"/>
  <c r="F33" i="2" s="1"/>
  <c r="F34" i="2" s="1"/>
  <c r="I55" i="2" l="1"/>
  <c r="E34" i="2"/>
  <c r="E35" i="2" s="1"/>
  <c r="E38" i="2" s="1"/>
  <c r="J46" i="2"/>
  <c r="J48" i="2" s="1"/>
  <c r="J52" i="2"/>
  <c r="K45" i="2"/>
  <c r="F35" i="2"/>
  <c r="F38" i="2" s="1"/>
  <c r="H31" i="2"/>
  <c r="H36" i="2" s="1"/>
  <c r="G32" i="2"/>
  <c r="G33" i="2" s="1"/>
  <c r="G34" i="2" s="1"/>
  <c r="F56" i="2" l="1"/>
  <c r="F57" i="2" s="1"/>
  <c r="L45" i="2"/>
  <c r="J49" i="2"/>
  <c r="J50" i="2" s="1"/>
  <c r="J55" i="2" s="1"/>
  <c r="K46" i="2"/>
  <c r="K48" i="2" s="1"/>
  <c r="K52" i="2"/>
  <c r="G35" i="2"/>
  <c r="G38" i="2" s="1"/>
  <c r="I31" i="2"/>
  <c r="I36" i="2" s="1"/>
  <c r="H32" i="2"/>
  <c r="H33" i="2" s="1"/>
  <c r="H34" i="2" s="1"/>
  <c r="G56" i="2" l="1"/>
  <c r="G57" i="2" s="1"/>
  <c r="M45" i="2"/>
  <c r="N45" i="2" s="1"/>
  <c r="K49" i="2"/>
  <c r="K50" i="2" s="1"/>
  <c r="K55" i="2" s="1"/>
  <c r="L52" i="2"/>
  <c r="L46" i="2"/>
  <c r="H35" i="2"/>
  <c r="H38" i="2" s="1"/>
  <c r="I32" i="2"/>
  <c r="I33" i="2" s="1"/>
  <c r="I34" i="2" s="1"/>
  <c r="J31" i="2"/>
  <c r="J36" i="2" s="1"/>
  <c r="H56" i="2" l="1"/>
  <c r="H57" i="2" s="1"/>
  <c r="L48" i="2"/>
  <c r="L49" i="2" s="1"/>
  <c r="L50" i="2" s="1"/>
  <c r="L55" i="2" s="1"/>
  <c r="M46" i="2"/>
  <c r="M48" i="2" s="1"/>
  <c r="M52" i="2"/>
  <c r="I35" i="2"/>
  <c r="I38" i="2" s="1"/>
  <c r="I56" i="2" s="1"/>
  <c r="J32" i="2"/>
  <c r="J33" i="2" s="1"/>
  <c r="J34" i="2" s="1"/>
  <c r="K31" i="2"/>
  <c r="K36" i="2" s="1"/>
  <c r="I57" i="2" l="1"/>
  <c r="M49" i="2"/>
  <c r="M50" i="2" s="1"/>
  <c r="M55" i="2"/>
  <c r="N52" i="2"/>
  <c r="N54" i="2" s="1"/>
  <c r="N46" i="2"/>
  <c r="N48" i="2" s="1"/>
  <c r="J35" i="2"/>
  <c r="J38" i="2" s="1"/>
  <c r="J56" i="2" s="1"/>
  <c r="L31" i="2"/>
  <c r="K32" i="2"/>
  <c r="K33" i="2" s="1"/>
  <c r="K34" i="2" s="1"/>
  <c r="L36" i="2" l="1"/>
  <c r="M31" i="2"/>
  <c r="J57" i="2"/>
  <c r="N49" i="2"/>
  <c r="N50" i="2" s="1"/>
  <c r="N55" i="2" s="1"/>
  <c r="K35" i="2"/>
  <c r="K38" i="2" s="1"/>
  <c r="L32" i="2"/>
  <c r="L33" i="2" s="1"/>
  <c r="L34" i="2" s="1"/>
  <c r="K56" i="2" l="1"/>
  <c r="K57" i="2" s="1"/>
  <c r="C64" i="2" s="1"/>
  <c r="M36" i="2"/>
  <c r="M32" i="2"/>
  <c r="N31" i="2"/>
  <c r="L35" i="2"/>
  <c r="L38" i="2" s="1"/>
  <c r="L56" i="2" s="1"/>
  <c r="M33" i="2"/>
  <c r="M34" i="2" l="1"/>
  <c r="M35" i="2"/>
  <c r="N32" i="2"/>
  <c r="N36" i="2"/>
  <c r="N37" i="2" s="1"/>
  <c r="N33" i="2"/>
  <c r="L57" i="2"/>
  <c r="M38" i="2"/>
  <c r="M56" i="2" s="1"/>
  <c r="N34" i="2" l="1"/>
  <c r="N35" i="2" s="1"/>
  <c r="N38" i="2" s="1"/>
  <c r="M57" i="2"/>
  <c r="N56" i="2" l="1"/>
  <c r="N57" i="2" s="1"/>
</calcChain>
</file>

<file path=xl/sharedStrings.xml><?xml version="1.0" encoding="utf-8"?>
<sst xmlns="http://schemas.openxmlformats.org/spreadsheetml/2006/main" count="66" uniqueCount="61">
  <si>
    <t xml:space="preserve">Convenience store </t>
  </si>
  <si>
    <t xml:space="preserve">Renovating project </t>
  </si>
  <si>
    <t xml:space="preserve">Cost of renovating </t>
  </si>
  <si>
    <t>Complete within 6 months</t>
  </si>
  <si>
    <t xml:space="preserve">Revenue from last semi annual </t>
  </si>
  <si>
    <t xml:space="preserve">Income tax </t>
  </si>
  <si>
    <t>Wd*Kd*(1-Tc) + We*Ke</t>
  </si>
  <si>
    <t>=</t>
  </si>
  <si>
    <t>Change in Revenue</t>
  </si>
  <si>
    <t>Change in Operating Profit</t>
  </si>
  <si>
    <t>Change in after tax operating profit</t>
  </si>
  <si>
    <t>Time 0</t>
  </si>
  <si>
    <t>Change in revenue</t>
  </si>
  <si>
    <t>Change in operating profit</t>
  </si>
  <si>
    <t xml:space="preserve">         (-) Change in operating expense</t>
  </si>
  <si>
    <t xml:space="preserve">         (-) Change in Taxes</t>
  </si>
  <si>
    <t xml:space="preserve">         (-)Change in working capital</t>
  </si>
  <si>
    <t xml:space="preserve">        (+) Recaptured working capital</t>
  </si>
  <si>
    <t xml:space="preserve">           (-)Change in Depreciation </t>
  </si>
  <si>
    <t xml:space="preserve">           (-)Change in operating expense</t>
  </si>
  <si>
    <t xml:space="preserve">            (-) Change in taxes</t>
  </si>
  <si>
    <t xml:space="preserve">            (+)Change in depreciation expense</t>
  </si>
  <si>
    <t xml:space="preserve">            (-)Change in working capital</t>
  </si>
  <si>
    <t xml:space="preserve">            (+)After tax salvage value</t>
  </si>
  <si>
    <t xml:space="preserve">            (+) Recaptured working capital</t>
  </si>
  <si>
    <t>Incremental After-Tax Cash Flow</t>
  </si>
  <si>
    <t>After-Tax cash flow</t>
  </si>
  <si>
    <t>The Renovation of The Madison Park Property Decision</t>
  </si>
  <si>
    <t>Performance Measures</t>
  </si>
  <si>
    <t xml:space="preserve">                         WACC    = </t>
  </si>
  <si>
    <t>Convenience Store Cash Flow</t>
  </si>
  <si>
    <t>Net Present Value ($)</t>
  </si>
  <si>
    <t>Internal Rate of Return (%)</t>
  </si>
  <si>
    <t>Payback year (years)</t>
  </si>
  <si>
    <t>MARCS: Recovery Allowance Percentages for Property</t>
  </si>
  <si>
    <t>Ownership Year</t>
  </si>
  <si>
    <t>10-year</t>
  </si>
  <si>
    <t>Cummulative Cash Flow</t>
  </si>
  <si>
    <t>Incremental After-Tax Cash Flow of The Coffeee Shop</t>
  </si>
  <si>
    <t>Performance measures</t>
  </si>
  <si>
    <t xml:space="preserve">             (-) Lost from Convenience Store Cash Flow  </t>
  </si>
  <si>
    <t>Tc  = 20%</t>
  </si>
  <si>
    <t>Incremental After Tax Cash flow of The Project</t>
  </si>
  <si>
    <t>Wd x 8%% x (1 - 20%) + We x 12%</t>
  </si>
  <si>
    <t>Wd =   450000/650000  =</t>
  </si>
  <si>
    <t>We =   200000/650000  =</t>
  </si>
  <si>
    <t>Revenue in 2026</t>
  </si>
  <si>
    <t>Revenue in 2027</t>
  </si>
  <si>
    <t>Annual growth after 2031</t>
  </si>
  <si>
    <t>Half 2024</t>
  </si>
  <si>
    <t>Required Return                                                                             12%</t>
  </si>
  <si>
    <t xml:space="preserve">Revenue in 2022 </t>
  </si>
  <si>
    <t xml:space="preserve">Revenue in 2023 </t>
  </si>
  <si>
    <t>After 2023, grow by 2%/ year</t>
  </si>
  <si>
    <t xml:space="preserve">Operating Margin </t>
  </si>
  <si>
    <t xml:space="preserve">Working capital/ revenue ratio </t>
  </si>
  <si>
    <t xml:space="preserve">Tax rate </t>
  </si>
  <si>
    <t xml:space="preserve">Start date </t>
  </si>
  <si>
    <t xml:space="preserve">Project life( Year) </t>
  </si>
  <si>
    <t>Annual growth from 2027- 2031</t>
  </si>
  <si>
    <t xml:space="preserve">Working Capital/ Revenue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</si>
</sst>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&quot;$&quot;* #,##0_);_(&quot;$&quot;* \(#,##0\);_(&quot;$&quot;* &quot;-&quot;??_);_(@_)"/>
    <numFmt numFmtId="167" formatCode="_([$$-409]* #,##0_);_([$$-409]* \(#,##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8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 applyBorder="1"/>
    <xf numFmtId="3" fontId="3" fillId="3" borderId="5" xfId="0" applyNumberFormat="1" applyFont="1" applyFill="1" applyBorder="1"/>
    <xf numFmtId="0" fontId="3" fillId="3" borderId="5" xfId="0" applyFont="1" applyFill="1" applyBorder="1"/>
    <xf numFmtId="10" fontId="3" fillId="3" borderId="5" xfId="0" applyNumberFormat="1" applyFont="1" applyFill="1" applyBorder="1"/>
    <xf numFmtId="9" fontId="3" fillId="3" borderId="5" xfId="0" applyNumberFormat="1" applyFont="1" applyFill="1" applyBorder="1"/>
    <xf numFmtId="0" fontId="3" fillId="3" borderId="1" xfId="0" applyFont="1" applyFill="1" applyBorder="1"/>
    <xf numFmtId="9" fontId="3" fillId="3" borderId="7" xfId="0" applyNumberFormat="1" applyFont="1" applyFill="1" applyBorder="1"/>
    <xf numFmtId="0" fontId="3" fillId="0" borderId="0" xfId="0" applyFont="1" applyAlignment="1">
      <alignment horizontal="right" indent="2"/>
    </xf>
    <xf numFmtId="10" fontId="3" fillId="0" borderId="0" xfId="0" applyNumberFormat="1" applyFont="1" applyAlignment="1"/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2" fillId="2" borderId="1" xfId="0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" fontId="3" fillId="0" borderId="0" xfId="1" applyNumberFormat="1" applyFont="1"/>
    <xf numFmtId="0" fontId="2" fillId="0" borderId="0" xfId="0" applyFont="1" applyAlignment="1"/>
    <xf numFmtId="0" fontId="5" fillId="0" borderId="0" xfId="0" applyFont="1"/>
    <xf numFmtId="0" fontId="2" fillId="0" borderId="0" xfId="0" applyFont="1"/>
    <xf numFmtId="0" fontId="7" fillId="0" borderId="0" xfId="0" applyFont="1" applyAlignment="1">
      <alignment vertical="center"/>
    </xf>
    <xf numFmtId="0" fontId="3" fillId="3" borderId="4" xfId="0" applyFont="1" applyFill="1" applyBorder="1" applyAlignment="1">
      <alignment horizontal="center"/>
    </xf>
    <xf numFmtId="9" fontId="3" fillId="3" borderId="13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9" fontId="3" fillId="3" borderId="12" xfId="0" applyNumberFormat="1" applyFont="1" applyFill="1" applyBorder="1" applyAlignment="1">
      <alignment horizontal="center"/>
    </xf>
    <xf numFmtId="166" fontId="3" fillId="0" borderId="0" xfId="2" applyNumberFormat="1" applyFont="1" applyAlignment="1">
      <alignment horizontal="left"/>
    </xf>
    <xf numFmtId="166" fontId="3" fillId="0" borderId="0" xfId="2" applyNumberFormat="1" applyFont="1" applyAlignment="1">
      <alignment horizontal="center"/>
    </xf>
    <xf numFmtId="166" fontId="3" fillId="0" borderId="1" xfId="2" applyNumberFormat="1" applyFont="1" applyBorder="1" applyAlignment="1">
      <alignment horizontal="center"/>
    </xf>
    <xf numFmtId="166" fontId="2" fillId="0" borderId="0" xfId="2" applyNumberFormat="1" applyFont="1" applyAlignment="1">
      <alignment horizontal="center"/>
    </xf>
    <xf numFmtId="167" fontId="3" fillId="0" borderId="0" xfId="0" applyNumberFormat="1" applyFont="1"/>
    <xf numFmtId="167" fontId="3" fillId="0" borderId="0" xfId="1" applyNumberFormat="1" applyFont="1"/>
    <xf numFmtId="167" fontId="3" fillId="0" borderId="0" xfId="1" applyNumberFormat="1" applyFont="1" applyAlignment="1"/>
    <xf numFmtId="167" fontId="3" fillId="0" borderId="0" xfId="1" applyNumberFormat="1" applyFont="1" applyBorder="1"/>
    <xf numFmtId="167" fontId="3" fillId="0" borderId="1" xfId="1" applyNumberFormat="1" applyFont="1" applyBorder="1"/>
    <xf numFmtId="167" fontId="2" fillId="0" borderId="0" xfId="1" applyNumberFormat="1" applyFont="1"/>
    <xf numFmtId="1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7" fontId="2" fillId="0" borderId="14" xfId="1" applyNumberFormat="1" applyFont="1" applyBorder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6" fontId="3" fillId="0" borderId="15" xfId="0" applyNumberFormat="1" applyFont="1" applyBorder="1"/>
    <xf numFmtId="0" fontId="1" fillId="4" borderId="14" xfId="4" applyBorder="1"/>
    <xf numFmtId="0" fontId="1" fillId="4" borderId="3" xfId="4" applyBorder="1"/>
    <xf numFmtId="0" fontId="1" fillId="4" borderId="4" xfId="4" applyBorder="1"/>
    <xf numFmtId="0" fontId="1" fillId="4" borderId="0" xfId="4" applyBorder="1"/>
    <xf numFmtId="0" fontId="1" fillId="4" borderId="5" xfId="4" applyBorder="1"/>
    <xf numFmtId="0" fontId="1" fillId="4" borderId="6" xfId="4" applyBorder="1"/>
    <xf numFmtId="0" fontId="1" fillId="4" borderId="1" xfId="4" applyBorder="1"/>
    <xf numFmtId="0" fontId="1" fillId="4" borderId="7" xfId="4" applyBorder="1"/>
    <xf numFmtId="9" fontId="1" fillId="4" borderId="5" xfId="3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4" fontId="2" fillId="5" borderId="3" xfId="0" applyNumberFormat="1" applyFont="1" applyFill="1" applyBorder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0" fontId="2" fillId="5" borderId="5" xfId="0" applyNumberFormat="1" applyFont="1" applyFill="1" applyBorder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2" fontId="2" fillId="5" borderId="7" xfId="0" applyNumberFormat="1" applyFont="1" applyFill="1" applyBorder="1"/>
    <xf numFmtId="0" fontId="0" fillId="3" borderId="13" xfId="0" applyFill="1" applyBorder="1"/>
    <xf numFmtId="0" fontId="0" fillId="3" borderId="12" xfId="0" applyFill="1" applyBorder="1"/>
    <xf numFmtId="0" fontId="1" fillId="4" borderId="11" xfId="4" applyBorder="1"/>
    <xf numFmtId="0" fontId="1" fillId="4" borderId="13" xfId="4" applyBorder="1"/>
    <xf numFmtId="0" fontId="1" fillId="4" borderId="12" xfId="4" applyBorder="1"/>
  </cellXfs>
  <cellStyles count="5">
    <cellStyle name="20% - Accent1" xfId="4" builtinId="30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37AE-D9A0-47F1-AEBA-2FA2724D6C6C}">
  <dimension ref="A2:O64"/>
  <sheetViews>
    <sheetView tabSelected="1" zoomScale="80" zoomScaleNormal="80" workbookViewId="0">
      <selection activeCell="E23" sqref="E23"/>
    </sheetView>
  </sheetViews>
  <sheetFormatPr defaultColWidth="9.28515625" defaultRowHeight="15.75" x14ac:dyDescent="0.25"/>
  <cols>
    <col min="1" max="1" width="21.5703125" style="2" customWidth="1"/>
    <col min="2" max="2" width="24.85546875" style="2" customWidth="1"/>
    <col min="3" max="3" width="13.85546875" style="2" customWidth="1"/>
    <col min="4" max="4" width="14" style="2" bestFit="1" customWidth="1"/>
    <col min="5" max="5" width="19.42578125" style="2" customWidth="1"/>
    <col min="6" max="11" width="14.140625" style="2" bestFit="1" customWidth="1"/>
    <col min="12" max="12" width="15.7109375" style="2" bestFit="1" customWidth="1"/>
    <col min="13" max="13" width="15.7109375" style="2" customWidth="1"/>
    <col min="14" max="14" width="15" style="2" customWidth="1"/>
    <col min="15" max="15" width="17.5703125" style="2" customWidth="1"/>
    <col min="16" max="16384" width="9.28515625" style="2"/>
  </cols>
  <sheetData>
    <row r="2" spans="1:15" ht="21" x14ac:dyDescent="0.35">
      <c r="A2" s="44" t="s">
        <v>27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5" ht="21" x14ac:dyDescent="0.35">
      <c r="A3" s="44" t="s">
        <v>28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16.5" thickBot="1" x14ac:dyDescent="0.3"/>
    <row r="6" spans="1:15" ht="24.6" customHeight="1" thickBot="1" x14ac:dyDescent="0.3">
      <c r="A6" s="45" t="s">
        <v>0</v>
      </c>
      <c r="B6" s="46"/>
      <c r="C6" s="47"/>
      <c r="E6" s="45" t="s">
        <v>1</v>
      </c>
      <c r="F6" s="46"/>
      <c r="G6" s="46"/>
      <c r="H6" s="47"/>
      <c r="J6" s="54" t="s">
        <v>34</v>
      </c>
      <c r="K6" s="55"/>
      <c r="L6" s="56"/>
      <c r="M6" s="21"/>
      <c r="N6" s="21"/>
      <c r="O6" s="21"/>
    </row>
    <row r="7" spans="1:15" ht="15.95" customHeight="1" thickBot="1" x14ac:dyDescent="0.3">
      <c r="A7" s="79" t="s">
        <v>51</v>
      </c>
      <c r="B7" s="3"/>
      <c r="C7" s="4">
        <v>370000</v>
      </c>
      <c r="E7" s="81" t="s">
        <v>57</v>
      </c>
      <c r="F7" s="61"/>
      <c r="G7" s="61"/>
      <c r="H7" s="62">
        <v>44713</v>
      </c>
      <c r="J7" s="57"/>
      <c r="K7" s="58"/>
      <c r="L7" s="59"/>
    </row>
    <row r="8" spans="1:15" ht="16.5" thickBot="1" x14ac:dyDescent="0.3">
      <c r="A8" s="79" t="s">
        <v>52</v>
      </c>
      <c r="B8" s="3"/>
      <c r="C8" s="4">
        <v>380000</v>
      </c>
      <c r="E8" s="82" t="s">
        <v>3</v>
      </c>
      <c r="F8" s="64"/>
      <c r="G8" s="64"/>
      <c r="H8" s="65"/>
    </row>
    <row r="9" spans="1:15" ht="15.95" customHeight="1" x14ac:dyDescent="0.25">
      <c r="A9" s="79" t="s">
        <v>53</v>
      </c>
      <c r="B9" s="3"/>
      <c r="C9" s="5"/>
      <c r="E9" s="82" t="s">
        <v>58</v>
      </c>
      <c r="F9" s="64"/>
      <c r="G9" s="64"/>
      <c r="H9" s="65">
        <v>10</v>
      </c>
      <c r="K9" s="51" t="s">
        <v>35</v>
      </c>
      <c r="L9" s="49" t="s">
        <v>36</v>
      </c>
    </row>
    <row r="10" spans="1:15" ht="16.5" thickBot="1" x14ac:dyDescent="0.3">
      <c r="A10" s="79" t="s">
        <v>54</v>
      </c>
      <c r="B10" s="3"/>
      <c r="C10" s="6">
        <v>0.08</v>
      </c>
      <c r="E10" s="82" t="s">
        <v>2</v>
      </c>
      <c r="F10" s="64"/>
      <c r="G10" s="64"/>
      <c r="H10" s="65">
        <v>650000</v>
      </c>
      <c r="K10" s="52"/>
      <c r="L10" s="50"/>
    </row>
    <row r="11" spans="1:15" x14ac:dyDescent="0.25">
      <c r="A11" s="79" t="s">
        <v>55</v>
      </c>
      <c r="B11" s="3"/>
      <c r="C11" s="7">
        <v>0.1</v>
      </c>
      <c r="E11" s="82" t="s">
        <v>4</v>
      </c>
      <c r="F11" s="64"/>
      <c r="G11" s="64"/>
      <c r="H11" s="65">
        <v>10</v>
      </c>
      <c r="K11" s="22">
        <v>1</v>
      </c>
      <c r="L11" s="23">
        <v>0.1</v>
      </c>
    </row>
    <row r="12" spans="1:15" ht="16.5" thickBot="1" x14ac:dyDescent="0.3">
      <c r="A12" s="80" t="s">
        <v>56</v>
      </c>
      <c r="B12" s="8"/>
      <c r="C12" s="9">
        <v>0.2</v>
      </c>
      <c r="E12" s="82" t="s">
        <v>46</v>
      </c>
      <c r="F12" s="64"/>
      <c r="G12" s="64"/>
      <c r="H12" s="65">
        <v>280000</v>
      </c>
      <c r="K12" s="22">
        <v>2</v>
      </c>
      <c r="L12" s="23">
        <v>0.18</v>
      </c>
    </row>
    <row r="13" spans="1:15" x14ac:dyDescent="0.25">
      <c r="E13" s="82" t="s">
        <v>47</v>
      </c>
      <c r="F13" s="64"/>
      <c r="G13" s="64"/>
      <c r="H13" s="65">
        <v>360000</v>
      </c>
      <c r="K13" s="22">
        <v>3</v>
      </c>
      <c r="L13" s="23">
        <v>0.14000000000000001</v>
      </c>
    </row>
    <row r="14" spans="1:15" x14ac:dyDescent="0.25">
      <c r="E14" s="82" t="s">
        <v>59</v>
      </c>
      <c r="F14" s="64"/>
      <c r="G14" s="64"/>
      <c r="H14" s="65">
        <v>460000</v>
      </c>
      <c r="K14" s="22">
        <v>4</v>
      </c>
      <c r="L14" s="23">
        <v>0.12</v>
      </c>
    </row>
    <row r="15" spans="1:15" x14ac:dyDescent="0.25">
      <c r="E15" s="82" t="s">
        <v>48</v>
      </c>
      <c r="F15" s="64"/>
      <c r="G15" s="64"/>
      <c r="H15" s="65">
        <v>0.06</v>
      </c>
      <c r="K15" s="22">
        <v>5</v>
      </c>
      <c r="L15" s="23">
        <v>0.09</v>
      </c>
    </row>
    <row r="16" spans="1:15" x14ac:dyDescent="0.25">
      <c r="E16" s="82" t="s">
        <v>54</v>
      </c>
      <c r="F16" s="64"/>
      <c r="G16" s="64"/>
      <c r="H16" s="65">
        <v>0.03</v>
      </c>
      <c r="K16" s="22">
        <v>6</v>
      </c>
      <c r="L16" s="23">
        <v>7.0000000000000007E-2</v>
      </c>
    </row>
    <row r="17" spans="1:14" x14ac:dyDescent="0.25">
      <c r="E17" s="82" t="s">
        <v>60</v>
      </c>
      <c r="F17" s="64"/>
      <c r="G17" s="64"/>
      <c r="H17" s="69">
        <v>0.3</v>
      </c>
      <c r="K17" s="22">
        <v>7</v>
      </c>
      <c r="L17" s="23">
        <v>7.0000000000000007E-2</v>
      </c>
    </row>
    <row r="18" spans="1:14" ht="16.5" thickBot="1" x14ac:dyDescent="0.3">
      <c r="E18" s="83" t="s">
        <v>5</v>
      </c>
      <c r="F18" s="64"/>
      <c r="G18" s="64"/>
      <c r="H18" s="69">
        <v>0.05</v>
      </c>
      <c r="K18" s="22">
        <v>8</v>
      </c>
      <c r="L18" s="23">
        <v>7.0000000000000007E-2</v>
      </c>
    </row>
    <row r="19" spans="1:14" x14ac:dyDescent="0.25">
      <c r="E19" s="63" t="s">
        <v>5</v>
      </c>
      <c r="F19" s="64"/>
      <c r="G19" s="64"/>
      <c r="H19" s="69">
        <v>0.2</v>
      </c>
      <c r="K19" s="22">
        <v>9</v>
      </c>
      <c r="L19" s="23">
        <v>7.0000000000000007E-2</v>
      </c>
    </row>
    <row r="20" spans="1:14" ht="16.5" thickBot="1" x14ac:dyDescent="0.3">
      <c r="E20" s="66" t="s">
        <v>50</v>
      </c>
      <c r="F20" s="67"/>
      <c r="G20" s="67"/>
      <c r="H20" s="68"/>
      <c r="K20" s="22">
        <v>10</v>
      </c>
      <c r="L20" s="23">
        <v>0.06</v>
      </c>
    </row>
    <row r="21" spans="1:14" ht="16.5" thickBot="1" x14ac:dyDescent="0.3">
      <c r="K21" s="24">
        <v>11</v>
      </c>
      <c r="L21" s="25">
        <v>0.03</v>
      </c>
    </row>
    <row r="22" spans="1:14" x14ac:dyDescent="0.25">
      <c r="A22" s="20" t="s">
        <v>29</v>
      </c>
      <c r="B22" s="2" t="s">
        <v>6</v>
      </c>
      <c r="D22" s="2" t="s">
        <v>41</v>
      </c>
    </row>
    <row r="23" spans="1:14" x14ac:dyDescent="0.25">
      <c r="A23" s="10" t="s">
        <v>7</v>
      </c>
      <c r="B23" s="2" t="s">
        <v>43</v>
      </c>
      <c r="D23" s="2" t="s">
        <v>44</v>
      </c>
      <c r="F23" s="12">
        <f>450000/650000</f>
        <v>0.69230769230769229</v>
      </c>
    </row>
    <row r="24" spans="1:14" x14ac:dyDescent="0.25">
      <c r="A24" s="10" t="s">
        <v>7</v>
      </c>
      <c r="B24" s="36">
        <f>F23*8%*(1-20%)+F24*12%</f>
        <v>8.1230769230769245E-2</v>
      </c>
      <c r="D24" s="2" t="s">
        <v>45</v>
      </c>
      <c r="F24" s="12">
        <f>200000/650000</f>
        <v>0.30769230769230771</v>
      </c>
    </row>
    <row r="28" spans="1:14" x14ac:dyDescent="0.25">
      <c r="C28" s="13"/>
      <c r="D28" s="13"/>
      <c r="E28" s="13"/>
      <c r="F28" s="13"/>
      <c r="G28" s="13"/>
      <c r="H28" s="13"/>
      <c r="I28" s="13"/>
      <c r="J28" s="13"/>
    </row>
    <row r="29" spans="1:14" x14ac:dyDescent="0.25">
      <c r="A29" s="20" t="s">
        <v>30</v>
      </c>
      <c r="B29" s="20"/>
    </row>
    <row r="30" spans="1:14" ht="16.5" thickBot="1" x14ac:dyDescent="0.3">
      <c r="C30" s="14">
        <v>2022</v>
      </c>
      <c r="D30" s="14">
        <v>2023</v>
      </c>
      <c r="E30" s="14">
        <v>2024</v>
      </c>
      <c r="F30" s="14">
        <v>2025</v>
      </c>
      <c r="G30" s="14">
        <v>2026</v>
      </c>
      <c r="H30" s="14">
        <v>2027</v>
      </c>
      <c r="I30" s="14">
        <v>2028</v>
      </c>
      <c r="J30" s="14">
        <v>2029</v>
      </c>
      <c r="K30" s="14">
        <v>2030</v>
      </c>
      <c r="L30" s="14">
        <v>2031</v>
      </c>
      <c r="M30" s="14">
        <v>2032</v>
      </c>
      <c r="N30" s="14">
        <v>2033</v>
      </c>
    </row>
    <row r="31" spans="1:14" x14ac:dyDescent="0.25">
      <c r="A31" s="2" t="s">
        <v>8</v>
      </c>
      <c r="C31" s="26">
        <f>C7</f>
        <v>370000</v>
      </c>
      <c r="D31" s="27">
        <f>C8</f>
        <v>380000</v>
      </c>
      <c r="E31" s="27">
        <f>D31*(1+2%)</f>
        <v>387600</v>
      </c>
      <c r="F31" s="27">
        <f t="shared" ref="F31:L31" si="0">E31*(1+2%)</f>
        <v>395352</v>
      </c>
      <c r="G31" s="27">
        <f t="shared" si="0"/>
        <v>403259.04</v>
      </c>
      <c r="H31" s="27">
        <f t="shared" si="0"/>
        <v>411324.22080000001</v>
      </c>
      <c r="I31" s="27">
        <f t="shared" si="0"/>
        <v>419550.70521600003</v>
      </c>
      <c r="J31" s="27">
        <f t="shared" si="0"/>
        <v>427941.71932032006</v>
      </c>
      <c r="K31" s="27">
        <f t="shared" si="0"/>
        <v>436500.55370672647</v>
      </c>
      <c r="L31" s="27">
        <f t="shared" si="0"/>
        <v>445230.56478086102</v>
      </c>
      <c r="M31" s="27">
        <f>L31*(1+2%)</f>
        <v>454135.17607647827</v>
      </c>
      <c r="N31" s="27">
        <f>M31*(1+2%)</f>
        <v>463217.87959800783</v>
      </c>
    </row>
    <row r="32" spans="1:14" ht="16.5" thickBot="1" x14ac:dyDescent="0.3">
      <c r="A32" s="2" t="s">
        <v>14</v>
      </c>
      <c r="C32" s="28">
        <f>C31-C31*$C$10</f>
        <v>340400</v>
      </c>
      <c r="D32" s="28">
        <f t="shared" ref="D32:L32" si="1">D31-D31*$C$10</f>
        <v>349600</v>
      </c>
      <c r="E32" s="28">
        <f t="shared" si="1"/>
        <v>356592</v>
      </c>
      <c r="F32" s="28">
        <f t="shared" si="1"/>
        <v>363723.84</v>
      </c>
      <c r="G32" s="28">
        <f t="shared" si="1"/>
        <v>370998.31679999997</v>
      </c>
      <c r="H32" s="28">
        <f t="shared" si="1"/>
        <v>378418.28313599998</v>
      </c>
      <c r="I32" s="28">
        <f t="shared" si="1"/>
        <v>385986.64879872004</v>
      </c>
      <c r="J32" s="28">
        <f t="shared" si="1"/>
        <v>393706.38177469443</v>
      </c>
      <c r="K32" s="28">
        <f t="shared" si="1"/>
        <v>401580.50941018836</v>
      </c>
      <c r="L32" s="28">
        <f t="shared" si="1"/>
        <v>409612.11959839216</v>
      </c>
      <c r="M32" s="28">
        <f>M31-M31*$C$10</f>
        <v>417804.36199036002</v>
      </c>
      <c r="N32" s="28">
        <f>N31-N31*$C$10</f>
        <v>426160.4492301672</v>
      </c>
    </row>
    <row r="33" spans="1:14" x14ac:dyDescent="0.25">
      <c r="A33" s="2" t="s">
        <v>9</v>
      </c>
      <c r="C33" s="27">
        <f>C31-C32</f>
        <v>29600</v>
      </c>
      <c r="D33" s="27">
        <f t="shared" ref="D33:M33" si="2">D31-D32</f>
        <v>30400</v>
      </c>
      <c r="E33" s="27">
        <f t="shared" si="2"/>
        <v>31008</v>
      </c>
      <c r="F33" s="27">
        <f t="shared" si="2"/>
        <v>31628.159999999974</v>
      </c>
      <c r="G33" s="27">
        <f t="shared" si="2"/>
        <v>32260.723200000008</v>
      </c>
      <c r="H33" s="27">
        <f t="shared" si="2"/>
        <v>32905.937664000026</v>
      </c>
      <c r="I33" s="27">
        <f t="shared" si="2"/>
        <v>33564.056417279993</v>
      </c>
      <c r="J33" s="27">
        <f t="shared" si="2"/>
        <v>34235.337545625633</v>
      </c>
      <c r="K33" s="27">
        <f t="shared" si="2"/>
        <v>34920.044296538108</v>
      </c>
      <c r="L33" s="27">
        <f t="shared" si="2"/>
        <v>35618.445182468859</v>
      </c>
      <c r="M33" s="27">
        <f t="shared" si="2"/>
        <v>36330.814086118247</v>
      </c>
      <c r="N33" s="27">
        <f>N31-N32</f>
        <v>37057.430367840629</v>
      </c>
    </row>
    <row r="34" spans="1:14" ht="16.5" thickBot="1" x14ac:dyDescent="0.3">
      <c r="A34" s="2" t="s">
        <v>15</v>
      </c>
      <c r="C34" s="28">
        <f>C33*$C$12</f>
        <v>5920</v>
      </c>
      <c r="D34" s="28">
        <f t="shared" ref="D34:L34" si="3">D33*$C$12</f>
        <v>6080</v>
      </c>
      <c r="E34" s="28">
        <f t="shared" si="3"/>
        <v>6201.6</v>
      </c>
      <c r="F34" s="28">
        <f t="shared" si="3"/>
        <v>6325.6319999999951</v>
      </c>
      <c r="G34" s="28">
        <f t="shared" si="3"/>
        <v>6452.1446400000023</v>
      </c>
      <c r="H34" s="28">
        <f t="shared" si="3"/>
        <v>6581.187532800006</v>
      </c>
      <c r="I34" s="28">
        <f t="shared" si="3"/>
        <v>6712.8112834559988</v>
      </c>
      <c r="J34" s="28">
        <f t="shared" si="3"/>
        <v>6847.0675091251269</v>
      </c>
      <c r="K34" s="28">
        <f t="shared" si="3"/>
        <v>6984.0088593076216</v>
      </c>
      <c r="L34" s="28">
        <f t="shared" si="3"/>
        <v>7123.6890364937717</v>
      </c>
      <c r="M34" s="28">
        <f>M33*$C$12</f>
        <v>7266.1628172236497</v>
      </c>
      <c r="N34" s="28">
        <f>N33*$C$12</f>
        <v>7411.4860735681259</v>
      </c>
    </row>
    <row r="35" spans="1:14" x14ac:dyDescent="0.25">
      <c r="A35" s="2" t="s">
        <v>10</v>
      </c>
      <c r="C35" s="27">
        <f>C33-C34</f>
        <v>23680</v>
      </c>
      <c r="D35" s="27">
        <f t="shared" ref="D35:L35" si="4">D33-D34</f>
        <v>24320</v>
      </c>
      <c r="E35" s="27">
        <f t="shared" si="4"/>
        <v>24806.400000000001</v>
      </c>
      <c r="F35" s="27">
        <f t="shared" si="4"/>
        <v>25302.52799999998</v>
      </c>
      <c r="G35" s="27">
        <f t="shared" si="4"/>
        <v>25808.578560000005</v>
      </c>
      <c r="H35" s="27">
        <f t="shared" si="4"/>
        <v>26324.75013120002</v>
      </c>
      <c r="I35" s="27">
        <f t="shared" si="4"/>
        <v>26851.245133823995</v>
      </c>
      <c r="J35" s="27">
        <f t="shared" si="4"/>
        <v>27388.270036500508</v>
      </c>
      <c r="K35" s="27">
        <f t="shared" si="4"/>
        <v>27936.035437230486</v>
      </c>
      <c r="L35" s="27">
        <f t="shared" si="4"/>
        <v>28494.756145975087</v>
      </c>
      <c r="M35" s="27">
        <f>M33-M34</f>
        <v>29064.651268894599</v>
      </c>
      <c r="N35" s="27">
        <f>N33-N34</f>
        <v>29645.944294272504</v>
      </c>
    </row>
    <row r="36" spans="1:14" x14ac:dyDescent="0.25">
      <c r="A36" s="2" t="s">
        <v>16</v>
      </c>
      <c r="C36" s="27">
        <f>C31*C11</f>
        <v>37000</v>
      </c>
      <c r="D36" s="27">
        <f>(D31-C31)*10%</f>
        <v>1000</v>
      </c>
      <c r="E36" s="27">
        <f t="shared" ref="E36:L36" si="5">(E31-D31)*10%</f>
        <v>760</v>
      </c>
      <c r="F36" s="27">
        <f t="shared" si="5"/>
        <v>775.2</v>
      </c>
      <c r="G36" s="27">
        <f t="shared" si="5"/>
        <v>790.7039999999979</v>
      </c>
      <c r="H36" s="27">
        <f t="shared" si="5"/>
        <v>806.51808000000312</v>
      </c>
      <c r="I36" s="27">
        <f t="shared" si="5"/>
        <v>822.64844160000212</v>
      </c>
      <c r="J36" s="27">
        <f t="shared" si="5"/>
        <v>839.10141043200281</v>
      </c>
      <c r="K36" s="27">
        <f t="shared" si="5"/>
        <v>855.88343864064086</v>
      </c>
      <c r="L36" s="27">
        <f t="shared" si="5"/>
        <v>873.00110741345566</v>
      </c>
      <c r="M36" s="27">
        <f>(M31-L31)*10%</f>
        <v>890.46112956172442</v>
      </c>
      <c r="N36" s="27">
        <f>(N31-M31)*10%</f>
        <v>908.27035215295621</v>
      </c>
    </row>
    <row r="37" spans="1:14" ht="16.5" thickBot="1" x14ac:dyDescent="0.3">
      <c r="A37" s="2" t="s">
        <v>17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60">
        <f>SUM(C36:N36)</f>
        <v>46321.787959800771</v>
      </c>
    </row>
    <row r="38" spans="1:14" x14ac:dyDescent="0.25">
      <c r="A38" s="43" t="s">
        <v>26</v>
      </c>
      <c r="B38" s="43"/>
      <c r="C38" s="29">
        <f>C35-C36+C37</f>
        <v>-13320</v>
      </c>
      <c r="D38" s="29">
        <f>D35-D36+D37</f>
        <v>23320</v>
      </c>
      <c r="E38" s="29">
        <f t="shared" ref="D38:L38" si="6">E35-E36+E37</f>
        <v>24046.400000000001</v>
      </c>
      <c r="F38" s="29">
        <f t="shared" si="6"/>
        <v>24527.32799999998</v>
      </c>
      <c r="G38" s="29">
        <f t="shared" si="6"/>
        <v>25017.874560000007</v>
      </c>
      <c r="H38" s="29">
        <f t="shared" si="6"/>
        <v>25518.232051200019</v>
      </c>
      <c r="I38" s="29">
        <f t="shared" si="6"/>
        <v>26028.596692223993</v>
      </c>
      <c r="J38" s="29">
        <f t="shared" si="6"/>
        <v>26549.168626068506</v>
      </c>
      <c r="K38" s="29">
        <f t="shared" si="6"/>
        <v>27080.151998589845</v>
      </c>
      <c r="L38" s="29">
        <f t="shared" si="6"/>
        <v>27621.75503856163</v>
      </c>
      <c r="M38" s="29">
        <f>M35-M36+M37</f>
        <v>28174.190139332874</v>
      </c>
      <c r="N38" s="29">
        <f>N35-N36+N37</f>
        <v>75059.461901920324</v>
      </c>
    </row>
    <row r="39" spans="1:14" x14ac:dyDescent="0.25">
      <c r="A39" s="37"/>
      <c r="B39" s="37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2" spans="1:14" ht="30.4" customHeight="1" x14ac:dyDescent="0.25">
      <c r="A42" s="48" t="s">
        <v>38</v>
      </c>
      <c r="B42" s="48"/>
      <c r="C42" s="48"/>
    </row>
    <row r="43" spans="1:14" x14ac:dyDescent="0.25">
      <c r="D43" s="16" t="s">
        <v>11</v>
      </c>
      <c r="E43" s="16" t="s">
        <v>49</v>
      </c>
      <c r="F43" s="16">
        <v>2025</v>
      </c>
      <c r="G43" s="16">
        <v>2026</v>
      </c>
      <c r="H43" s="16">
        <v>2027</v>
      </c>
      <c r="I43" s="16">
        <v>2028</v>
      </c>
      <c r="J43" s="16">
        <v>2029</v>
      </c>
      <c r="K43" s="16">
        <v>2030</v>
      </c>
      <c r="L43" s="16">
        <v>2031</v>
      </c>
      <c r="M43" s="16">
        <v>2032</v>
      </c>
      <c r="N43" s="16">
        <v>2033</v>
      </c>
    </row>
    <row r="44" spans="1:14" x14ac:dyDescent="0.25">
      <c r="A44" s="42" t="s">
        <v>2</v>
      </c>
      <c r="B44" s="42"/>
      <c r="C44" s="40"/>
      <c r="D44" s="30">
        <f>H10</f>
        <v>650000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42" t="s">
        <v>12</v>
      </c>
      <c r="B45" s="42"/>
      <c r="C45" s="40"/>
      <c r="D45" s="31"/>
      <c r="E45" s="31"/>
      <c r="F45" s="32">
        <f>H12</f>
        <v>280000</v>
      </c>
      <c r="G45" s="31">
        <f>H13</f>
        <v>360000</v>
      </c>
      <c r="H45" s="31">
        <f>H14</f>
        <v>460000</v>
      </c>
      <c r="I45" s="31">
        <f>H45*(1+$H$15)</f>
        <v>487600</v>
      </c>
      <c r="J45" s="31">
        <f t="shared" ref="J45:K45" si="7">I45*(1+$H$15)</f>
        <v>516856</v>
      </c>
      <c r="K45" s="31">
        <f t="shared" si="7"/>
        <v>547867.36</v>
      </c>
      <c r="L45" s="31">
        <f>K45*(1+$H$15)</f>
        <v>580739.40159999998</v>
      </c>
      <c r="M45" s="31">
        <f>L45*(1+$H$15)</f>
        <v>615583.76569599996</v>
      </c>
      <c r="N45" s="31">
        <f>M45*(1+$H$16)</f>
        <v>634051.27866687998</v>
      </c>
    </row>
    <row r="46" spans="1:14" x14ac:dyDescent="0.25">
      <c r="A46" s="2" t="s">
        <v>19</v>
      </c>
      <c r="D46" s="31"/>
      <c r="E46" s="31"/>
      <c r="F46" s="31">
        <f>F45-F45*30%</f>
        <v>196000</v>
      </c>
      <c r="G46" s="31">
        <f t="shared" ref="G46:N46" si="8">G45-G45*30%</f>
        <v>252000</v>
      </c>
      <c r="H46" s="31">
        <f t="shared" si="8"/>
        <v>322000</v>
      </c>
      <c r="I46" s="31">
        <f t="shared" si="8"/>
        <v>341320</v>
      </c>
      <c r="J46" s="31">
        <f t="shared" si="8"/>
        <v>361799.2</v>
      </c>
      <c r="K46" s="31">
        <f t="shared" si="8"/>
        <v>383507.152</v>
      </c>
      <c r="L46" s="31">
        <f t="shared" si="8"/>
        <v>406517.58111999999</v>
      </c>
      <c r="M46" s="31">
        <f t="shared" si="8"/>
        <v>430908.63598719996</v>
      </c>
      <c r="N46" s="31">
        <f t="shared" si="8"/>
        <v>443835.89506681601</v>
      </c>
    </row>
    <row r="47" spans="1:14" x14ac:dyDescent="0.25">
      <c r="A47" s="2" t="s">
        <v>18</v>
      </c>
      <c r="D47" s="31"/>
      <c r="E47" s="31"/>
      <c r="F47" s="31">
        <f>D44*L11</f>
        <v>65000</v>
      </c>
      <c r="G47" s="31">
        <f>D44*L12</f>
        <v>117000</v>
      </c>
      <c r="H47" s="31">
        <f>D44*L13</f>
        <v>91000.000000000015</v>
      </c>
      <c r="I47" s="31">
        <f>D44*L14</f>
        <v>78000</v>
      </c>
      <c r="J47" s="31">
        <f>D44*L15</f>
        <v>58500</v>
      </c>
      <c r="K47" s="31">
        <f>$D$44*$L$16</f>
        <v>45500.000000000007</v>
      </c>
      <c r="L47" s="31">
        <f>$D$44*$L$16</f>
        <v>45500.000000000007</v>
      </c>
      <c r="M47" s="31">
        <f>$D$44*$L$16</f>
        <v>45500.000000000007</v>
      </c>
      <c r="N47" s="31">
        <f>$D$44*$L$16</f>
        <v>45500.000000000007</v>
      </c>
    </row>
    <row r="48" spans="1:14" x14ac:dyDescent="0.25">
      <c r="A48" s="2" t="s">
        <v>13</v>
      </c>
      <c r="D48" s="33"/>
      <c r="E48" s="33"/>
      <c r="F48" s="31">
        <f>F45-F46-F47</f>
        <v>19000</v>
      </c>
      <c r="G48" s="31">
        <f t="shared" ref="G48:N48" si="9">G45-G46-G47</f>
        <v>-9000</v>
      </c>
      <c r="H48" s="31">
        <f t="shared" si="9"/>
        <v>46999.999999999985</v>
      </c>
      <c r="I48" s="31">
        <f t="shared" si="9"/>
        <v>68280</v>
      </c>
      <c r="J48" s="31">
        <f t="shared" si="9"/>
        <v>96556.799999999988</v>
      </c>
      <c r="K48" s="31">
        <f t="shared" si="9"/>
        <v>118860.20799999998</v>
      </c>
      <c r="L48" s="31">
        <f t="shared" si="9"/>
        <v>128721.82047999999</v>
      </c>
      <c r="M48" s="31">
        <f t="shared" si="9"/>
        <v>139175.1297088</v>
      </c>
      <c r="N48" s="31">
        <f t="shared" si="9"/>
        <v>144715.38360006397</v>
      </c>
    </row>
    <row r="49" spans="1:14" ht="16.5" thickBot="1" x14ac:dyDescent="0.3">
      <c r="A49" s="2" t="s">
        <v>20</v>
      </c>
      <c r="D49" s="33"/>
      <c r="E49" s="33"/>
      <c r="F49" s="34">
        <f>F48*20%</f>
        <v>3800</v>
      </c>
      <c r="G49" s="34">
        <f t="shared" ref="G49:N49" si="10">G48*20%</f>
        <v>-1800</v>
      </c>
      <c r="H49" s="34">
        <f>H48*20%</f>
        <v>9399.9999999999982</v>
      </c>
      <c r="I49" s="34">
        <f t="shared" si="10"/>
        <v>13656</v>
      </c>
      <c r="J49" s="34">
        <f t="shared" si="10"/>
        <v>19311.359999999997</v>
      </c>
      <c r="K49" s="34">
        <f t="shared" si="10"/>
        <v>23772.041599999997</v>
      </c>
      <c r="L49" s="34">
        <f t="shared" si="10"/>
        <v>25744.364096000001</v>
      </c>
      <c r="M49" s="34">
        <f t="shared" si="10"/>
        <v>27835.025941760003</v>
      </c>
      <c r="N49" s="34">
        <f t="shared" si="10"/>
        <v>28943.076720012796</v>
      </c>
    </row>
    <row r="50" spans="1:14" x14ac:dyDescent="0.25">
      <c r="A50" s="2" t="s">
        <v>10</v>
      </c>
      <c r="D50" s="33"/>
      <c r="E50" s="33"/>
      <c r="F50" s="31">
        <f>F48-F49</f>
        <v>15200</v>
      </c>
      <c r="G50" s="31">
        <f t="shared" ref="G50:N50" si="11">G48-G49</f>
        <v>-7200</v>
      </c>
      <c r="H50" s="31">
        <f t="shared" si="11"/>
        <v>37599.999999999985</v>
      </c>
      <c r="I50" s="31">
        <f t="shared" si="11"/>
        <v>54624</v>
      </c>
      <c r="J50" s="31">
        <f t="shared" si="11"/>
        <v>77245.439999999988</v>
      </c>
      <c r="K50" s="31">
        <f t="shared" si="11"/>
        <v>95088.166399999987</v>
      </c>
      <c r="L50" s="31">
        <f t="shared" si="11"/>
        <v>102977.45638399999</v>
      </c>
      <c r="M50" s="31">
        <f t="shared" si="11"/>
        <v>111340.10376704</v>
      </c>
      <c r="N50" s="31">
        <f t="shared" si="11"/>
        <v>115772.30688005118</v>
      </c>
    </row>
    <row r="51" spans="1:14" x14ac:dyDescent="0.25">
      <c r="A51" s="2" t="s">
        <v>21</v>
      </c>
      <c r="D51" s="31"/>
      <c r="E51" s="31"/>
      <c r="F51" s="31">
        <f>F47</f>
        <v>65000</v>
      </c>
      <c r="G51" s="31">
        <f>G47</f>
        <v>117000</v>
      </c>
      <c r="H51" s="31">
        <f t="shared" ref="H51:N51" si="12">H47</f>
        <v>91000.000000000015</v>
      </c>
      <c r="I51" s="31">
        <f t="shared" si="12"/>
        <v>78000</v>
      </c>
      <c r="J51" s="31">
        <f t="shared" si="12"/>
        <v>58500</v>
      </c>
      <c r="K51" s="31">
        <f t="shared" si="12"/>
        <v>45500.000000000007</v>
      </c>
      <c r="L51" s="31">
        <f t="shared" si="12"/>
        <v>45500.000000000007</v>
      </c>
      <c r="M51" s="31">
        <f t="shared" si="12"/>
        <v>45500.000000000007</v>
      </c>
      <c r="N51" s="31">
        <f t="shared" si="12"/>
        <v>45500.000000000007</v>
      </c>
    </row>
    <row r="52" spans="1:14" x14ac:dyDescent="0.25">
      <c r="A52" s="2" t="s">
        <v>22</v>
      </c>
      <c r="D52" s="31"/>
      <c r="E52" s="31"/>
      <c r="F52" s="31">
        <f>F45*5%</f>
        <v>14000</v>
      </c>
      <c r="G52" s="31">
        <f t="shared" ref="G52:N52" si="13">(G45-F45)*5%</f>
        <v>4000</v>
      </c>
      <c r="H52" s="31">
        <f t="shared" si="13"/>
        <v>5000</v>
      </c>
      <c r="I52" s="31">
        <f t="shared" si="13"/>
        <v>1380</v>
      </c>
      <c r="J52" s="31">
        <f t="shared" si="13"/>
        <v>1462.8000000000002</v>
      </c>
      <c r="K52" s="31">
        <f t="shared" si="13"/>
        <v>1550.5679999999993</v>
      </c>
      <c r="L52" s="31">
        <f t="shared" si="13"/>
        <v>1643.6020799999999</v>
      </c>
      <c r="M52" s="31">
        <f t="shared" si="13"/>
        <v>1742.2182047999988</v>
      </c>
      <c r="N52" s="31">
        <f t="shared" si="13"/>
        <v>923.37564854400125</v>
      </c>
    </row>
    <row r="53" spans="1:14" x14ac:dyDescent="0.25">
      <c r="A53" s="2" t="s">
        <v>23</v>
      </c>
      <c r="D53" s="31"/>
      <c r="E53" s="31"/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ht="16.5" thickBot="1" x14ac:dyDescent="0.3">
      <c r="A54" s="2" t="s">
        <v>24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>
        <f>SUM(F52:N52)</f>
        <v>31702.563933344001</v>
      </c>
    </row>
    <row r="55" spans="1:14" ht="16.5" thickBot="1" x14ac:dyDescent="0.3">
      <c r="A55" s="18" t="s">
        <v>25</v>
      </c>
      <c r="B55" s="18"/>
      <c r="C55" s="18"/>
      <c r="D55" s="38">
        <f>-D44</f>
        <v>-650000</v>
      </c>
      <c r="E55" s="34"/>
      <c r="F55" s="38">
        <f>F50+F51-F52+F53+F54</f>
        <v>66200</v>
      </c>
      <c r="G55" s="38">
        <f>G50+G51-G52+G53+G54</f>
        <v>105800</v>
      </c>
      <c r="H55" s="38">
        <f>H50+H51-H52+H53+H54</f>
        <v>123600</v>
      </c>
      <c r="I55" s="38">
        <f>I50+I51-I52+I53+I54</f>
        <v>131244</v>
      </c>
      <c r="J55" s="38">
        <f>J50+J51-J52+J53+J54</f>
        <v>134282.64000000001</v>
      </c>
      <c r="K55" s="38">
        <f>K50+K51-K52+K53+K54</f>
        <v>139037.59839999999</v>
      </c>
      <c r="L55" s="38">
        <f>L50+L51-L52+L53+L54</f>
        <v>146833.85430399998</v>
      </c>
      <c r="M55" s="38">
        <f>M50+M51-M52+M53+M54</f>
        <v>155097.88556224</v>
      </c>
      <c r="N55" s="38">
        <f>N50+N51-N52+N53+N54</f>
        <v>192051.49516485119</v>
      </c>
    </row>
    <row r="56" spans="1:14" ht="16.5" thickBot="1" x14ac:dyDescent="0.3">
      <c r="A56" s="39" t="s">
        <v>40</v>
      </c>
      <c r="B56" s="39"/>
      <c r="C56" s="39"/>
      <c r="D56" s="34"/>
      <c r="E56" s="34">
        <f>-(E38/2)</f>
        <v>-12023.2</v>
      </c>
      <c r="F56" s="34">
        <f>F38</f>
        <v>24527.32799999998</v>
      </c>
      <c r="G56" s="34">
        <f>G38</f>
        <v>25017.874560000007</v>
      </c>
      <c r="H56" s="34">
        <f>H38</f>
        <v>25518.232051200019</v>
      </c>
      <c r="I56" s="34">
        <f t="shared" ref="I56:M56" si="14">I38</f>
        <v>26028.596692223993</v>
      </c>
      <c r="J56" s="34">
        <f t="shared" si="14"/>
        <v>26549.168626068506</v>
      </c>
      <c r="K56" s="34">
        <f t="shared" si="14"/>
        <v>27080.151998589845</v>
      </c>
      <c r="L56" s="34">
        <f t="shared" si="14"/>
        <v>27621.75503856163</v>
      </c>
      <c r="M56" s="34">
        <f t="shared" si="14"/>
        <v>28174.190139332874</v>
      </c>
      <c r="N56" s="34">
        <f>N38</f>
        <v>75059.461901920324</v>
      </c>
    </row>
    <row r="57" spans="1:14" x14ac:dyDescent="0.25">
      <c r="A57" s="18" t="s">
        <v>42</v>
      </c>
      <c r="B57" s="18"/>
      <c r="C57" s="18"/>
      <c r="D57" s="35">
        <f>D55</f>
        <v>-650000</v>
      </c>
      <c r="E57" s="35">
        <f>E56</f>
        <v>-12023.2</v>
      </c>
      <c r="F57" s="35">
        <f>F55-F56</f>
        <v>41672.67200000002</v>
      </c>
      <c r="G57" s="35">
        <f t="shared" ref="G57:N57" si="15">G55-G56</f>
        <v>80782.125439999989</v>
      </c>
      <c r="H57" s="35">
        <f t="shared" si="15"/>
        <v>98081.767948799985</v>
      </c>
      <c r="I57" s="35">
        <f t="shared" si="15"/>
        <v>105215.40330777601</v>
      </c>
      <c r="J57" s="35">
        <f t="shared" si="15"/>
        <v>107733.4713739315</v>
      </c>
      <c r="K57" s="35">
        <f t="shared" si="15"/>
        <v>111957.44640141014</v>
      </c>
      <c r="L57" s="35">
        <f t="shared" si="15"/>
        <v>119212.09926543834</v>
      </c>
      <c r="M57" s="35">
        <f t="shared" si="15"/>
        <v>126923.69542290713</v>
      </c>
      <c r="N57" s="35">
        <f t="shared" si="15"/>
        <v>116992.03326293087</v>
      </c>
    </row>
    <row r="58" spans="1:14" x14ac:dyDescent="0.25"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</row>
    <row r="59" spans="1:14" x14ac:dyDescent="0.25">
      <c r="A59" s="53" t="s">
        <v>37</v>
      </c>
      <c r="B59" s="53"/>
      <c r="C59" s="41"/>
      <c r="D59" s="31"/>
      <c r="E59" s="31">
        <f>E57</f>
        <v>-12023.2</v>
      </c>
      <c r="F59" s="31">
        <f>F57+E59</f>
        <v>29649.47200000002</v>
      </c>
      <c r="G59" s="31">
        <f>G57+F59</f>
        <v>110431.59744000001</v>
      </c>
      <c r="H59" s="31">
        <f t="shared" ref="G59:N59" si="16">H57+G59</f>
        <v>208513.36538879998</v>
      </c>
      <c r="I59" s="31">
        <f t="shared" si="16"/>
        <v>313728.76869657601</v>
      </c>
      <c r="J59" s="31">
        <f t="shared" si="16"/>
        <v>421462.24007050751</v>
      </c>
      <c r="K59" s="31">
        <f t="shared" si="16"/>
        <v>533419.68647191767</v>
      </c>
      <c r="L59" s="31">
        <f t="shared" si="16"/>
        <v>652631.78573735605</v>
      </c>
      <c r="M59" s="31">
        <f t="shared" si="16"/>
        <v>779555.48116026318</v>
      </c>
      <c r="N59" s="31">
        <f>N57+M59</f>
        <v>896547.51442319411</v>
      </c>
    </row>
    <row r="60" spans="1:14" x14ac:dyDescent="0.25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</row>
    <row r="61" spans="1:14" ht="16.5" thickBot="1" x14ac:dyDescent="0.3">
      <c r="A61" s="20" t="s">
        <v>39</v>
      </c>
    </row>
    <row r="62" spans="1:14" x14ac:dyDescent="0.25">
      <c r="A62" s="70" t="s">
        <v>31</v>
      </c>
      <c r="B62" s="71"/>
      <c r="C62" s="72">
        <f>NPV(B24,E57:N57)+D57</f>
        <v>-106118.43294461642</v>
      </c>
    </row>
    <row r="63" spans="1:14" x14ac:dyDescent="0.25">
      <c r="A63" s="73" t="s">
        <v>32</v>
      </c>
      <c r="B63" s="74"/>
      <c r="C63" s="75">
        <f>IRR(D57:N57)</f>
        <v>5.0900918932741623E-2</v>
      </c>
      <c r="E63" s="19"/>
      <c r="F63" s="19"/>
    </row>
    <row r="64" spans="1:14" ht="16.5" thickBot="1" x14ac:dyDescent="0.3">
      <c r="A64" s="76" t="s">
        <v>33</v>
      </c>
      <c r="B64" s="77"/>
      <c r="C64" s="78">
        <f>6.5+((D44-K59)/L57)</f>
        <v>7.4779235014434562</v>
      </c>
      <c r="F64" s="10"/>
      <c r="G64" s="11"/>
    </row>
  </sheetData>
  <mergeCells count="15">
    <mergeCell ref="A64:B64"/>
    <mergeCell ref="A38:B38"/>
    <mergeCell ref="A42:C42"/>
    <mergeCell ref="A44:B44"/>
    <mergeCell ref="A45:B45"/>
    <mergeCell ref="A62:B62"/>
    <mergeCell ref="A63:B63"/>
    <mergeCell ref="K9:K10"/>
    <mergeCell ref="L9:L10"/>
    <mergeCell ref="A59:B59"/>
    <mergeCell ref="A2:M2"/>
    <mergeCell ref="A3:M3"/>
    <mergeCell ref="A6:C6"/>
    <mergeCell ref="E6:H6"/>
    <mergeCell ref="J6:L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Grice</dc:creator>
  <cp:lastModifiedBy>Rachel Ann</cp:lastModifiedBy>
  <dcterms:created xsi:type="dcterms:W3CDTF">2020-11-11T03:27:55Z</dcterms:created>
  <dcterms:modified xsi:type="dcterms:W3CDTF">2023-12-02T03:36:34Z</dcterms:modified>
</cp:coreProperties>
</file>