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mducphuongminh/Desktop/"/>
    </mc:Choice>
  </mc:AlternateContent>
  <xr:revisionPtr revIDLastSave="0" documentId="13_ncr:1_{3119E1A8-B11E-EA48-AE42-62F267EDC6D2}" xr6:coauthVersionLast="47" xr6:coauthVersionMax="47" xr10:uidLastSave="{00000000-0000-0000-0000-000000000000}"/>
  <bookViews>
    <workbookView xWindow="920" yWindow="460" windowWidth="27100" windowHeight="17540" activeTab="1" xr2:uid="{CE799D9D-88AB-B549-9196-DF58A999F2E2}"/>
  </bookViews>
  <sheets>
    <sheet name="Năm 2020" sheetId="1" r:id="rId1"/>
    <sheet name="Năm 2021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6" i="2" l="1"/>
  <c r="D155" i="2"/>
  <c r="D154" i="2"/>
  <c r="D153" i="2"/>
  <c r="B152" i="2"/>
  <c r="D152" i="2"/>
  <c r="B151" i="2"/>
  <c r="D151" i="2"/>
  <c r="B150" i="2"/>
  <c r="D150" i="2"/>
  <c r="D149" i="2"/>
  <c r="B148" i="2"/>
  <c r="D148" i="2"/>
  <c r="B147" i="2"/>
  <c r="D147" i="2"/>
  <c r="D146" i="2"/>
  <c r="B146" i="2" s="1"/>
  <c r="D145" i="2"/>
  <c r="B145" i="2" s="1"/>
  <c r="C145" i="2"/>
  <c r="D144" i="2"/>
  <c r="D143" i="2"/>
  <c r="D142" i="2"/>
  <c r="C141" i="2"/>
  <c r="D141" i="2"/>
  <c r="D140" i="2"/>
  <c r="B140" i="2" s="1"/>
  <c r="B139" i="2"/>
  <c r="D139" i="2"/>
  <c r="D138" i="2"/>
  <c r="B137" i="2"/>
  <c r="D137" i="2"/>
  <c r="D136" i="2"/>
  <c r="B135" i="2"/>
  <c r="D135" i="2"/>
  <c r="B134" i="2"/>
  <c r="D134" i="2"/>
  <c r="B133" i="2"/>
  <c r="D133" i="2"/>
  <c r="D132" i="2"/>
  <c r="D131" i="2"/>
  <c r="C130" i="2"/>
  <c r="D130" i="2"/>
  <c r="D129" i="2"/>
  <c r="C129" i="2"/>
  <c r="D127" i="2"/>
  <c r="D128" i="2" s="1"/>
  <c r="B127" i="2"/>
  <c r="C127" i="2"/>
  <c r="B126" i="2"/>
  <c r="D126" i="2"/>
  <c r="D124" i="2"/>
  <c r="B124" i="2" s="1"/>
  <c r="D123" i="2"/>
  <c r="B123" i="2" s="1"/>
  <c r="C123" i="2"/>
  <c r="C122" i="2"/>
  <c r="B122" i="2"/>
  <c r="D122" i="2"/>
  <c r="D121" i="2"/>
  <c r="B121" i="2" s="1"/>
  <c r="D120" i="2"/>
  <c r="C120" i="2"/>
  <c r="C119" i="2"/>
  <c r="D119" i="2"/>
  <c r="B119" i="2" s="1"/>
  <c r="B118" i="2"/>
  <c r="D118" i="2"/>
  <c r="B117" i="2"/>
  <c r="D117" i="2"/>
  <c r="D116" i="2"/>
  <c r="C116" i="2"/>
  <c r="D115" i="2"/>
  <c r="D114" i="2"/>
  <c r="C113" i="2"/>
  <c r="D113" i="2"/>
  <c r="B112" i="2"/>
  <c r="D112" i="2"/>
  <c r="B111" i="2"/>
  <c r="D111" i="2"/>
  <c r="D110" i="2"/>
  <c r="D109" i="2"/>
  <c r="C109" i="2"/>
  <c r="D108" i="2"/>
  <c r="D107" i="2"/>
  <c r="B108" i="2"/>
  <c r="D106" i="2"/>
  <c r="C106" i="2"/>
  <c r="B105" i="2"/>
  <c r="D105" i="2"/>
  <c r="B104" i="2"/>
  <c r="D104" i="2"/>
  <c r="B103" i="2"/>
  <c r="C102" i="2"/>
  <c r="D102" i="2"/>
  <c r="D103" i="2"/>
  <c r="B102" i="2"/>
  <c r="B101" i="2"/>
  <c r="D101" i="2"/>
  <c r="D100" i="2"/>
  <c r="D99" i="2"/>
  <c r="C98" i="2"/>
  <c r="B98" i="2" s="1"/>
  <c r="D98" i="2"/>
  <c r="B97" i="2"/>
  <c r="D97" i="2"/>
  <c r="B96" i="2"/>
  <c r="D96" i="2"/>
  <c r="C95" i="2"/>
  <c r="D95" i="2"/>
  <c r="B93" i="2"/>
  <c r="D93" i="2"/>
  <c r="D92" i="2"/>
  <c r="D91" i="2"/>
  <c r="C91" i="2" s="1"/>
  <c r="B90" i="2"/>
  <c r="C90" i="2"/>
  <c r="D90" i="2"/>
  <c r="C88" i="2"/>
  <c r="D88" i="2" s="1"/>
  <c r="B89" i="2" s="1"/>
  <c r="D89" i="2"/>
  <c r="D87" i="2"/>
  <c r="C87" i="2"/>
  <c r="D86" i="2"/>
  <c r="D85" i="2"/>
  <c r="C84" i="2"/>
  <c r="D84" i="2"/>
  <c r="B83" i="2"/>
  <c r="D83" i="2"/>
  <c r="D82" i="2"/>
  <c r="B82" i="2"/>
  <c r="B81" i="2"/>
  <c r="C81" i="2"/>
  <c r="D81" i="2"/>
  <c r="D80" i="2"/>
  <c r="C79" i="2"/>
  <c r="D79" i="2"/>
  <c r="D78" i="2"/>
  <c r="D77" i="2"/>
  <c r="C77" i="2"/>
  <c r="B76" i="2"/>
  <c r="C76" i="2"/>
  <c r="D76" i="2"/>
  <c r="B75" i="2"/>
  <c r="D75" i="2"/>
  <c r="D74" i="2"/>
  <c r="B74" i="2" s="1"/>
  <c r="C74" i="2"/>
  <c r="D73" i="2"/>
  <c r="D72" i="2"/>
  <c r="B72" i="2" s="1"/>
  <c r="D70" i="2"/>
  <c r="D71" i="2" s="1"/>
  <c r="C69" i="2"/>
  <c r="D69" i="2"/>
  <c r="B69" i="2" s="1"/>
  <c r="D68" i="2"/>
  <c r="B68" i="2" s="1"/>
  <c r="C68" i="2"/>
  <c r="D67" i="2"/>
  <c r="C67" i="2"/>
  <c r="C61" i="2"/>
  <c r="D61" i="2"/>
  <c r="D63" i="2" s="1"/>
  <c r="D64" i="2" s="1"/>
  <c r="D65" i="2" s="1"/>
  <c r="D66" i="2" s="1"/>
  <c r="B67" i="2" s="1"/>
  <c r="D60" i="2"/>
  <c r="B60" i="2" s="1"/>
  <c r="D59" i="2"/>
  <c r="B59" i="2"/>
  <c r="D58" i="2"/>
  <c r="D57" i="2"/>
  <c r="B57" i="2" s="1"/>
  <c r="D56" i="2"/>
  <c r="B56" i="2" s="1"/>
  <c r="D55" i="2"/>
  <c r="B55" i="2" s="1"/>
  <c r="D54" i="2"/>
  <c r="C54" i="2" s="1"/>
  <c r="D53" i="2"/>
  <c r="C52" i="2"/>
  <c r="D52" i="2"/>
  <c r="B52" i="2" s="1"/>
  <c r="D51" i="2"/>
  <c r="B51" i="2" s="1"/>
  <c r="D50" i="2"/>
  <c r="B50" i="2"/>
  <c r="D49" i="2"/>
  <c r="C49" i="2"/>
  <c r="B21" i="3"/>
  <c r="C43" i="2"/>
  <c r="D39" i="2"/>
  <c r="D40" i="2" s="1"/>
  <c r="D41" i="2" s="1"/>
  <c r="D42" i="2" s="1"/>
  <c r="D43" i="2" s="1"/>
  <c r="D44" i="2" s="1"/>
  <c r="D45" i="2" s="1"/>
  <c r="D46" i="2" s="1"/>
  <c r="D47" i="2" s="1"/>
  <c r="D48" i="2" s="1"/>
  <c r="B49" i="2" s="1"/>
  <c r="C39" i="2"/>
  <c r="C38" i="2"/>
  <c r="D38" i="2"/>
  <c r="B38" i="2" s="1"/>
  <c r="D37" i="2"/>
  <c r="B37" i="2" s="1"/>
  <c r="D36" i="2"/>
  <c r="B36" i="2" s="1"/>
  <c r="D35" i="2"/>
  <c r="B35" i="2" s="1"/>
  <c r="C34" i="2"/>
  <c r="D34" i="2"/>
  <c r="C32" i="2"/>
  <c r="D32" i="2"/>
  <c r="B32" i="2" s="1"/>
  <c r="D31" i="2"/>
  <c r="B31" i="2" s="1"/>
  <c r="D30" i="2"/>
  <c r="B30" i="2" s="1"/>
  <c r="D29" i="2"/>
  <c r="B29" i="2" s="1"/>
  <c r="C28" i="2"/>
  <c r="B28" i="2" s="1"/>
  <c r="D28" i="2"/>
  <c r="D27" i="2"/>
  <c r="D26" i="2"/>
  <c r="D25" i="2"/>
  <c r="D23" i="2"/>
  <c r="D24" i="2" s="1"/>
  <c r="D22" i="2"/>
  <c r="C21" i="2"/>
  <c r="C346" i="2"/>
  <c r="B346" i="2"/>
  <c r="C283" i="2"/>
  <c r="B283" i="2"/>
  <c r="C252" i="2"/>
  <c r="B252" i="2"/>
  <c r="C220" i="2"/>
  <c r="B220" i="2"/>
  <c r="C188" i="2"/>
  <c r="B188" i="2"/>
  <c r="C18" i="2"/>
  <c r="D19" i="2"/>
  <c r="D20" i="2" s="1"/>
  <c r="C17" i="2"/>
  <c r="D17" i="2"/>
  <c r="D16" i="2"/>
  <c r="C13" i="2"/>
  <c r="C12" i="2"/>
  <c r="B12" i="2"/>
  <c r="C7" i="2"/>
  <c r="C6" i="2"/>
  <c r="C4" i="2"/>
  <c r="D4" i="2"/>
  <c r="D5" i="2" s="1"/>
  <c r="C125" i="2"/>
  <c r="D3" i="2"/>
  <c r="C2" i="2"/>
  <c r="D2" i="2"/>
  <c r="D94" i="1"/>
  <c r="B93" i="1"/>
  <c r="D93" i="1"/>
  <c r="D92" i="1"/>
  <c r="C93" i="1"/>
  <c r="C92" i="1"/>
  <c r="D90" i="1"/>
  <c r="C91" i="1"/>
  <c r="C90" i="1"/>
  <c r="B89" i="1"/>
  <c r="D89" i="1"/>
  <c r="D87" i="1"/>
  <c r="D86" i="1"/>
  <c r="D88" i="1"/>
  <c r="C87" i="1"/>
  <c r="C88" i="1"/>
  <c r="D85" i="1"/>
  <c r="D84" i="1"/>
  <c r="D80" i="1"/>
  <c r="B141" i="2" l="1"/>
  <c r="C157" i="2"/>
  <c r="B157" i="2"/>
  <c r="B125" i="2"/>
  <c r="B94" i="2"/>
  <c r="B34" i="2"/>
  <c r="B39" i="2"/>
  <c r="B58" i="2"/>
  <c r="B53" i="2"/>
  <c r="D21" i="2"/>
  <c r="C22" i="2" s="1"/>
  <c r="B61" i="2"/>
  <c r="C70" i="2"/>
  <c r="C94" i="2" s="1"/>
  <c r="D6" i="2"/>
  <c r="D7" i="2" s="1"/>
  <c r="D8" i="2" s="1"/>
  <c r="D9" i="2" s="1"/>
  <c r="D10" i="2" s="1"/>
  <c r="D11" i="2" s="1"/>
  <c r="D12" i="2" s="1"/>
  <c r="D13" i="2" s="1"/>
  <c r="D14" i="2" s="1"/>
  <c r="D15" i="2" s="1"/>
  <c r="B16" i="2" s="1"/>
  <c r="B2" i="2"/>
  <c r="D18" i="2"/>
  <c r="B26" i="2"/>
  <c r="B27" i="2"/>
  <c r="B4" i="2"/>
  <c r="B25" i="2"/>
  <c r="B23" i="2"/>
  <c r="B3" i="2"/>
  <c r="B17" i="2"/>
  <c r="D91" i="1"/>
  <c r="B90" i="1"/>
  <c r="B88" i="1"/>
  <c r="D83" i="1"/>
  <c r="B83" i="1" s="1"/>
  <c r="D157" i="2" l="1"/>
  <c r="B82" i="1"/>
  <c r="D82" i="1"/>
  <c r="D81" i="1" l="1"/>
  <c r="C81" i="1"/>
  <c r="B79" i="1" l="1"/>
  <c r="C79" i="1"/>
  <c r="D79" i="1"/>
  <c r="B78" i="1" l="1"/>
  <c r="D78" i="1"/>
  <c r="B77" i="1" l="1"/>
  <c r="D77" i="1"/>
  <c r="C77" i="1"/>
  <c r="D76" i="1" l="1"/>
  <c r="B76" i="1"/>
  <c r="B75" i="1" l="1"/>
  <c r="D73" i="1"/>
  <c r="D74" i="1" s="1"/>
  <c r="D75" i="1"/>
  <c r="C75" i="1"/>
  <c r="D72" i="1" l="1"/>
  <c r="C72" i="1"/>
  <c r="D71" i="1" l="1"/>
  <c r="D70" i="1" l="1"/>
  <c r="D69" i="1" l="1"/>
  <c r="D68" i="1"/>
  <c r="C66" i="1" l="1"/>
  <c r="C67" i="1"/>
  <c r="D66" i="1" l="1"/>
  <c r="D67" i="1" s="1"/>
  <c r="D65" i="1" l="1"/>
  <c r="D62" i="1" l="1"/>
  <c r="D64" i="1" s="1"/>
  <c r="B65" i="1" s="1"/>
  <c r="C62" i="1"/>
  <c r="B61" i="1" l="1"/>
  <c r="C60" i="1" l="1"/>
  <c r="D60" i="1"/>
  <c r="D58" i="1" l="1"/>
  <c r="D59" i="1" s="1"/>
  <c r="C56" i="1" l="1"/>
  <c r="C62" i="2" l="1"/>
  <c r="B62" i="2"/>
  <c r="C33" i="2"/>
  <c r="B33" i="2"/>
  <c r="D54" i="1"/>
  <c r="D55" i="1" s="1"/>
  <c r="D56" i="1" s="1"/>
  <c r="D57" i="1" s="1"/>
  <c r="B52" i="1" l="1"/>
  <c r="C52" i="1"/>
  <c r="D51" i="1" l="1"/>
  <c r="D52" i="1" s="1"/>
  <c r="D53" i="1" s="1"/>
  <c r="B54" i="1" s="1"/>
  <c r="C48" i="1" l="1"/>
  <c r="D48" i="1"/>
  <c r="D49" i="1" s="1"/>
  <c r="D50" i="1" s="1"/>
  <c r="B51" i="1" s="1"/>
  <c r="B47" i="1"/>
  <c r="B46" i="1"/>
  <c r="D45" i="1" l="1"/>
  <c r="D46" i="1" l="1"/>
  <c r="D47" i="1" s="1"/>
  <c r="B48" i="1" s="1"/>
  <c r="D44" i="1"/>
  <c r="C45" i="1" s="1"/>
  <c r="C44" i="1"/>
  <c r="C43" i="1" l="1"/>
  <c r="D43" i="1"/>
  <c r="C40" i="1" l="1"/>
  <c r="D40" i="1"/>
  <c r="D41" i="1" s="1"/>
  <c r="D42" i="1" s="1"/>
  <c r="B43" i="1" s="1"/>
  <c r="C39" i="1" l="1"/>
  <c r="C38" i="1" l="1"/>
  <c r="D33" i="1" l="1"/>
  <c r="C95" i="1" l="1"/>
  <c r="B95" i="1"/>
  <c r="D34" i="1"/>
  <c r="D35" i="1" s="1"/>
  <c r="D36" i="1" s="1"/>
  <c r="D37" i="1" s="1"/>
  <c r="D38" i="1" s="1"/>
  <c r="D39" i="1" s="1"/>
  <c r="B40" i="1" s="1"/>
  <c r="C34" i="1"/>
  <c r="C31" i="1" l="1"/>
  <c r="C33" i="1" l="1"/>
  <c r="C63" i="1" s="1"/>
  <c r="C30" i="1" l="1"/>
  <c r="D25" i="1" l="1"/>
  <c r="D26" i="1" s="1"/>
  <c r="D27" i="1" s="1"/>
  <c r="D28" i="1" s="1"/>
  <c r="D29" i="1" s="1"/>
  <c r="D30" i="1" s="1"/>
  <c r="D31" i="1" s="1"/>
  <c r="B63" i="1" s="1"/>
  <c r="C25" i="1"/>
  <c r="C23" i="1" l="1"/>
  <c r="C22" i="1"/>
  <c r="C21" i="1" l="1"/>
  <c r="C20" i="1" l="1"/>
  <c r="C19" i="1" l="1"/>
  <c r="C18" i="1" l="1"/>
  <c r="D18" i="1"/>
  <c r="D19" i="1" s="1"/>
  <c r="D20" i="1" s="1"/>
  <c r="D21" i="1" s="1"/>
  <c r="D22" i="1" s="1"/>
  <c r="D23" i="1" s="1"/>
  <c r="D24" i="1" s="1"/>
  <c r="B25" i="1" s="1"/>
  <c r="D17" i="1" l="1"/>
  <c r="B18" i="1" l="1"/>
  <c r="D16" i="1"/>
  <c r="C16" i="1"/>
  <c r="B17" i="1" l="1"/>
  <c r="C13" i="1" l="1"/>
  <c r="C12" i="1" l="1"/>
  <c r="D11" i="1" l="1"/>
  <c r="D12" i="1" s="1"/>
  <c r="D13" i="1" s="1"/>
  <c r="D14" i="1" s="1"/>
  <c r="D15" i="1" s="1"/>
  <c r="B16" i="1" s="1"/>
  <c r="C11" i="1"/>
  <c r="D8" i="1" l="1"/>
  <c r="D9" i="1" s="1"/>
  <c r="D10" i="1" s="1"/>
  <c r="B11" i="1" s="1"/>
  <c r="C8" i="1" l="1"/>
  <c r="C32" i="1" s="1"/>
  <c r="D5" i="1"/>
  <c r="D6" i="1" s="1"/>
  <c r="B7" i="1" s="1"/>
  <c r="B32" i="1" s="1"/>
</calcChain>
</file>

<file path=xl/sharedStrings.xml><?xml version="1.0" encoding="utf-8"?>
<sst xmlns="http://schemas.openxmlformats.org/spreadsheetml/2006/main" count="573" uniqueCount="560">
  <si>
    <t>THU NHẬP</t>
  </si>
  <si>
    <t>CHI TIÊU</t>
  </si>
  <si>
    <t>CÒN LẠI</t>
  </si>
  <si>
    <t>NGÀY</t>
  </si>
  <si>
    <t>02-10-2020</t>
  </si>
  <si>
    <t>07-10-2020</t>
  </si>
  <si>
    <t>03-10-2020</t>
  </si>
  <si>
    <t>04-10-2020</t>
  </si>
  <si>
    <t>05-10-2020</t>
  </si>
  <si>
    <t>06-10-2020</t>
  </si>
  <si>
    <t>08-10-2020</t>
  </si>
  <si>
    <t>09-10-2020</t>
  </si>
  <si>
    <t>10-10-2020</t>
  </si>
  <si>
    <t>11-10-2020</t>
  </si>
  <si>
    <t>GHI CHÚ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</si>
  <si>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</si>
  <si>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</si>
  <si>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</si>
  <si>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</si>
  <si>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</si>
  <si>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</si>
  <si>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</si>
  <si>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TOEIC 995,000+60,000</t>
  </si>
  <si>
    <t>Tiền võ thầy cho 300,000</t>
  </si>
  <si>
    <t xml:space="preserve">Tiền card 130,000 </t>
  </si>
  <si>
    <t>19-10-2020</t>
  </si>
  <si>
    <t>20-10-2020</t>
  </si>
  <si>
    <t>21-10-2020</t>
  </si>
  <si>
    <t>22-10-2020</t>
  </si>
  <si>
    <t>23-10-2020</t>
  </si>
  <si>
    <t>24-10-2020</t>
  </si>
  <si>
    <t>Dẫn mẹ đi ăn lễ 100,000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</si>
  <si>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</si>
  <si>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</si>
  <si>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</si>
  <si>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</si>
  <si>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</si>
  <si>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</si>
  <si>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</si>
  <si>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</si>
  <si>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Tiền mua đồ nhậu với Phúc Pháp 99,000</t>
  </si>
  <si>
    <t>THÁNG 10-2020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</si>
  <si>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</si>
  <si>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</si>
  <si>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</si>
  <si>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</si>
  <si>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</si>
  <si>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</si>
  <si>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</si>
  <si>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</si>
  <si>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</si>
  <si>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</si>
  <si>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</si>
  <si>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</si>
  <si>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</si>
  <si>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</si>
  <si>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</si>
  <si>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</si>
  <si>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</si>
  <si>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</si>
  <si>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</si>
  <si>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</si>
  <si>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</si>
  <si>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</si>
  <si>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</si>
  <si>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</si>
  <si>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</si>
  <si>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</si>
  <si>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</si>
  <si>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</si>
  <si>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</si>
  <si>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THÁNG 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</si>
  <si>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</si>
  <si>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</si>
  <si>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</si>
  <si>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</si>
  <si>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</si>
  <si>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</si>
  <si>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</si>
  <si>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</si>
  <si>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</si>
  <si>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</si>
  <si>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</si>
  <si>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</si>
  <si>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</si>
  <si>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</si>
  <si>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</si>
  <si>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</si>
  <si>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</si>
  <si>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</si>
  <si>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</si>
  <si>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</si>
  <si>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</si>
  <si>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</si>
  <si>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</si>
  <si>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</si>
  <si>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</si>
  <si>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</si>
  <si>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</si>
  <si>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</si>
  <si>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</si>
  <si>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</si>
  <si>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</si>
  <si>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THÁNG 12-2020</t>
  </si>
  <si>
    <t>Tiền học mẹ đưa lại 3,000,000</t>
  </si>
  <si>
    <t xml:space="preserve">Tiền card 90,000 </t>
  </si>
  <si>
    <t>Tiền sữa rửa mặt 185,000</t>
  </si>
  <si>
    <t>Bố cho 50,000</t>
  </si>
  <si>
    <t>Tiền 3 áo thun SSSTuter 330,000</t>
  </si>
  <si>
    <t>Tiền áo thun Yame 150,000</t>
  </si>
  <si>
    <t>Tiền áo thun YG 300,000</t>
  </si>
  <si>
    <t>Tiền lương võ 1,200,000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</si>
  <si>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</si>
  <si>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</si>
  <si>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</si>
  <si>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</si>
  <si>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</si>
  <si>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</si>
  <si>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</si>
  <si>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</si>
  <si>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</si>
  <si>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</si>
  <si>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</si>
  <si>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</si>
  <si>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</si>
  <si>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</si>
  <si>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</si>
  <si>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</si>
  <si>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</si>
  <si>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</si>
  <si>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</si>
  <si>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</si>
  <si>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</si>
  <si>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</si>
  <si>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</si>
  <si>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</si>
  <si>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</si>
  <si>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27-01-2021</t>
  </si>
  <si>
    <t>26-01-2021</t>
  </si>
  <si>
    <t>28-01-2021</t>
  </si>
  <si>
    <t>29-01-2021</t>
  </si>
  <si>
    <t>30-01-2021</t>
  </si>
  <si>
    <t>31-01-2021</t>
  </si>
  <si>
    <t>THÁNG 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</si>
  <si>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</si>
  <si>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</si>
  <si>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</si>
  <si>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</si>
  <si>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</si>
  <si>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</si>
  <si>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</si>
  <si>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</si>
  <si>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</si>
  <si>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</si>
  <si>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</si>
  <si>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</si>
  <si>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</si>
  <si>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</si>
  <si>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</si>
  <si>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</si>
  <si>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</si>
  <si>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</si>
  <si>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</si>
  <si>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</si>
  <si>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</si>
  <si>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</si>
  <si>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</si>
  <si>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</si>
  <si>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</si>
  <si>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</si>
  <si>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</si>
  <si>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</si>
  <si>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THÁNG 2-2021</t>
  </si>
  <si>
    <t>Tiền homestay Vũng Tàu tháng 12 125,000</t>
  </si>
  <si>
    <t>Tiền cắt tóc 70,000</t>
  </si>
  <si>
    <t>Tiền coi thi võ 100,000</t>
  </si>
  <si>
    <t>Tiền Airpod 255,000</t>
  </si>
  <si>
    <t xml:space="preserve">Tiền card 110,000 </t>
  </si>
  <si>
    <t>Tiền lương võ 800,000</t>
  </si>
  <si>
    <t>Tiền giày converse 500,000</t>
  </si>
  <si>
    <t>Tiền đi Vũng Tàu 615,000</t>
  </si>
  <si>
    <t>Tiền họp lớp A16 150,000</t>
  </si>
  <si>
    <t>Tiền airpod 530,000 - Tiền giày vans 350,000 - Tiền giày nike 400,000</t>
  </si>
  <si>
    <t>Tiền 3 đôi vớ 50,000</t>
  </si>
  <si>
    <t>Tiền đi ăn với Linh Bảo 129,000</t>
  </si>
  <si>
    <t>Tiền gương hậu 50,000 - Đưa mẹ 50,000</t>
  </si>
  <si>
    <t>Tiền lương võ 400,000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</si>
  <si>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</si>
  <si>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</si>
  <si>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</si>
  <si>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</si>
  <si>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</si>
  <si>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</si>
  <si>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</si>
  <si>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</si>
  <si>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</si>
  <si>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</si>
  <si>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</si>
  <si>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</si>
  <si>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</si>
  <si>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</si>
  <si>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</si>
  <si>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</si>
  <si>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</si>
  <si>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</si>
  <si>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</si>
  <si>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</si>
  <si>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</si>
  <si>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</si>
  <si>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</si>
  <si>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</si>
  <si>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</si>
  <si>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</si>
  <si>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</si>
  <si>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</si>
  <si>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</si>
  <si>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</si>
  <si>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THÁNG 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</si>
  <si>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</si>
  <si>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</si>
  <si>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</si>
  <si>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</si>
  <si>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</si>
  <si>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</si>
  <si>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</si>
  <si>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</si>
  <si>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</si>
  <si>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</si>
  <si>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</si>
  <si>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</si>
  <si>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</si>
  <si>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</si>
  <si>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</si>
  <si>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</si>
  <si>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</si>
  <si>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</si>
  <si>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</si>
  <si>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</si>
  <si>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</si>
  <si>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</si>
  <si>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</si>
  <si>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</si>
  <si>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</si>
  <si>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</si>
  <si>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</si>
  <si>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</si>
  <si>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</si>
  <si>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</si>
  <si>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THÁNG 4-2021</t>
  </si>
  <si>
    <t>Tiền khám da liễu 462,000 - Tiền cắt tóc 70,000</t>
  </si>
  <si>
    <t>Tiền card 80,000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</si>
  <si>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</si>
  <si>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</si>
  <si>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</si>
  <si>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</si>
  <si>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</si>
  <si>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</si>
  <si>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</si>
  <si>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</si>
  <si>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</si>
  <si>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</si>
  <si>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</si>
  <si>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</si>
  <si>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</si>
  <si>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</si>
  <si>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</si>
  <si>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</si>
  <si>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</si>
  <si>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</si>
  <si>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</si>
  <si>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</si>
  <si>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</si>
  <si>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</si>
  <si>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</si>
  <si>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</si>
  <si>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</si>
  <si>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</si>
  <si>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</si>
  <si>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</si>
  <si>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</si>
  <si>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</si>
  <si>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</si>
  <si>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THÁNG 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</si>
  <si>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</si>
  <si>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</si>
  <si>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</si>
  <si>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</si>
  <si>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</si>
  <si>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</si>
  <si>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</si>
  <si>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</si>
  <si>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</si>
  <si>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</si>
  <si>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</si>
  <si>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</si>
  <si>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</si>
  <si>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</si>
  <si>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</si>
  <si>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</si>
  <si>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</si>
  <si>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</si>
  <si>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</si>
  <si>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</si>
  <si>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</si>
  <si>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</si>
  <si>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</si>
  <si>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</si>
  <si>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</si>
  <si>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</si>
  <si>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</si>
  <si>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</si>
  <si>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</si>
  <si>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</si>
  <si>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THÁNG 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</si>
  <si>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</si>
  <si>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</si>
  <si>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</si>
  <si>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</si>
  <si>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</si>
  <si>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</si>
  <si>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</si>
  <si>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</si>
  <si>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</si>
  <si>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</si>
  <si>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</si>
  <si>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</si>
  <si>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</si>
  <si>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</si>
  <si>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</si>
  <si>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</si>
  <si>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</si>
  <si>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</si>
  <si>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</si>
  <si>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</si>
  <si>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</si>
  <si>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</si>
  <si>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</si>
  <si>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</si>
  <si>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</si>
  <si>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</si>
  <si>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</si>
  <si>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</si>
  <si>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</si>
  <si>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</si>
  <si>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</si>
  <si>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THÁNG 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</si>
  <si>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</si>
  <si>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</si>
  <si>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</si>
  <si>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</si>
  <si>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</si>
  <si>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</si>
  <si>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</si>
  <si>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</si>
  <si>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</si>
  <si>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</si>
  <si>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</si>
  <si>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</si>
  <si>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</si>
  <si>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</si>
  <si>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</si>
  <si>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</si>
  <si>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</si>
  <si>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</si>
  <si>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</si>
  <si>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</si>
  <si>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</si>
  <si>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</si>
  <si>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</si>
  <si>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</si>
  <si>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</si>
  <si>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</si>
  <si>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</si>
  <si>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</si>
  <si>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</si>
  <si>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</si>
  <si>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</si>
  <si>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THÁNG 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</si>
  <si>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</si>
  <si>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</si>
  <si>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</si>
  <si>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</si>
  <si>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</si>
  <si>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</si>
  <si>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</si>
  <si>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</si>
  <si>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</si>
  <si>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</si>
  <si>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</si>
  <si>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</si>
  <si>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</si>
  <si>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</si>
  <si>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</si>
  <si>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</si>
  <si>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</si>
  <si>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</si>
  <si>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</si>
  <si>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</si>
  <si>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</si>
  <si>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</si>
  <si>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</si>
  <si>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</si>
  <si>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</si>
  <si>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</si>
  <si>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</si>
  <si>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</si>
  <si>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</si>
  <si>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</si>
  <si>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THÁNG 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</si>
  <si>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</si>
  <si>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</si>
  <si>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</si>
  <si>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</si>
  <si>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</si>
  <si>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</si>
  <si>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</si>
  <si>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</si>
  <si>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</si>
  <si>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</si>
  <si>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</si>
  <si>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</si>
  <si>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</si>
  <si>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</si>
  <si>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</si>
  <si>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</si>
  <si>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</si>
  <si>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</si>
  <si>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</si>
  <si>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</si>
  <si>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</si>
  <si>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</si>
  <si>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</si>
  <si>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</si>
  <si>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</si>
  <si>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</si>
  <si>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</si>
  <si>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</si>
  <si>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</si>
  <si>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</si>
  <si>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</si>
  <si>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THÁNG 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</si>
  <si>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</si>
  <si>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</si>
  <si>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</si>
  <si>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</si>
  <si>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</si>
  <si>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</si>
  <si>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</si>
  <si>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</si>
  <si>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</si>
  <si>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</si>
  <si>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</si>
  <si>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</si>
  <si>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</si>
  <si>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</si>
  <si>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</si>
  <si>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</si>
  <si>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</si>
  <si>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</si>
  <si>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</si>
  <si>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</si>
  <si>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</si>
  <si>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</si>
  <si>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</si>
  <si>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</si>
  <si>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</si>
  <si>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</si>
  <si>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</si>
  <si>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</si>
  <si>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</si>
  <si>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</si>
  <si>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THÁNG 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</si>
  <si>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</si>
  <si>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</si>
  <si>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</si>
  <si>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</si>
  <si>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</si>
  <si>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</si>
  <si>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</si>
  <si>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</si>
  <si>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</si>
  <si>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</si>
  <si>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</si>
  <si>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</si>
  <si>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</si>
  <si>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</si>
  <si>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</si>
  <si>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</si>
  <si>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</si>
  <si>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</si>
  <si>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</si>
  <si>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</si>
  <si>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</si>
  <si>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</si>
  <si>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</si>
  <si>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</si>
  <si>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</si>
  <si>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</si>
  <si>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</si>
  <si>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</si>
  <si>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</si>
  <si>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</si>
  <si>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</si>
  <si>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THÁNG 12-2021</t>
  </si>
  <si>
    <t>Tiền áo khoác BadHabbit 476,000</t>
  </si>
  <si>
    <t>Tiền đi buffet 162,000 - Tiền ứng GiveAway Now 160,000</t>
  </si>
  <si>
    <t>Tiền mua bao tay chống nắng 50,000</t>
  </si>
  <si>
    <t>Tiền GiveAway Now 300,000</t>
  </si>
  <si>
    <t>Tiền mua điện thoại 13,840,000 - Anh Hai 9,100,000 - Tự bỏ 4,740,000 - Tiền trang trí bàn 120,000</t>
  </si>
  <si>
    <t xml:space="preserve">dì Hạnh </t>
  </si>
  <si>
    <t>bà Quy - ông Thảo</t>
  </si>
  <si>
    <t xml:space="preserve">chú Phúc </t>
  </si>
  <si>
    <t>Tiền cắt tóc 80,000</t>
  </si>
  <si>
    <t>bác Dậu</t>
  </si>
  <si>
    <t>bà Hiền</t>
  </si>
  <si>
    <t>bà Mai</t>
  </si>
  <si>
    <t>cô Thuý</t>
  </si>
  <si>
    <t>chú Thuận</t>
  </si>
  <si>
    <t xml:space="preserve">thím </t>
  </si>
  <si>
    <t>ông Vĩnh</t>
  </si>
  <si>
    <t>ông Lễ</t>
  </si>
  <si>
    <t>bà Phượng</t>
  </si>
  <si>
    <t>bà Loan</t>
  </si>
  <si>
    <t xml:space="preserve">chú Hiệu </t>
  </si>
  <si>
    <t>Tiền trà sữa với chị Hà 87,000</t>
  </si>
  <si>
    <t>Tiền mừng tuổi ba mẹ tết 1,000,000</t>
  </si>
  <si>
    <t xml:space="preserve">em Dương </t>
  </si>
  <si>
    <t>cô Đào</t>
  </si>
  <si>
    <t>cô Thuỷ</t>
  </si>
  <si>
    <t>chú Bình</t>
  </si>
  <si>
    <t>em Hoàng Anh</t>
  </si>
  <si>
    <t>Tiền card 120,000</t>
  </si>
  <si>
    <t>chị Thư</t>
  </si>
  <si>
    <t>Tiền đi ăn với cô Vân Anh 170,000 - Tiền lót mũi giày 60,000</t>
  </si>
  <si>
    <t>Tiền lẩu với Linh Bảo 130,000 - Tiền nước 57,000 - Thua bài 50,000</t>
  </si>
  <si>
    <t>Tiền ăn nhà Quang 100,000</t>
  </si>
  <si>
    <t>Đi ăn với chị Ty 321,000</t>
  </si>
  <si>
    <t>Tiền đưa mẹ mua lẩu 100,000</t>
  </si>
  <si>
    <t>Tiền sinh nhật với Linh Bảo 130,000 - Đá banh 50,000 - Tiền hàng của mẹ 71,000</t>
  </si>
  <si>
    <t>Tiền lì xì 1,970,000</t>
  </si>
  <si>
    <t>Tiền đi ăn với Khánh Mai 130,000</t>
  </si>
  <si>
    <t>Tiền trà sữa với Khánh Mai 40,000 - Tiền bông cho Khánh Mai 15,000</t>
  </si>
  <si>
    <t xml:space="preserve">Tiền xăm 800,000 - Tiền bông 95,000 </t>
  </si>
  <si>
    <t>10-03-2021</t>
  </si>
  <si>
    <t>Tiền card 120,000 - Tiền nón Royal 335,000</t>
  </si>
  <si>
    <t>Tiền làm biển số 350,000</t>
  </si>
  <si>
    <t xml:space="preserve">Tiền lương võ 800,000 </t>
  </si>
  <si>
    <t>Tiền xăng 67,000 - Tiền ăn uống 74,000</t>
  </si>
  <si>
    <t>Tiền xăng 65,000</t>
  </si>
  <si>
    <t>Tiền xăm 350,000 - Tiền đồng hồ 195,000</t>
  </si>
  <si>
    <t>Tiền xăng 60,000</t>
  </si>
  <si>
    <t>Tiền ăn uống 90,000</t>
  </si>
  <si>
    <t>Tiền xăng 72,000</t>
  </si>
  <si>
    <t>Tiền lương võ 800,000 - Tiền cọc bánh kem 100,000 - Bông tẩy trang 42,000</t>
  </si>
  <si>
    <t>Tiền mua bánh kem 230,000</t>
  </si>
  <si>
    <t>Tiền xăng 65,000 - Tiền ăn uống 140,000</t>
  </si>
  <si>
    <t>Tiền mua thảm cho bố mẹ 768,000</t>
  </si>
  <si>
    <t>Tiền mua MattePaste tóc 374,000</t>
  </si>
  <si>
    <t>Tiền bánh kem 400,000</t>
  </si>
  <si>
    <t>Tiền K+ 1,500,000 - Tiền card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</si>
</sst>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10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22"/>
      <color theme="1"/>
      <name val="Calibri (Body)"/>
    </font>
    <font>
      <sz val="22"/>
      <color theme="1"/>
      <name val="Times New Roman"/>
      <family val="1"/>
    </font>
    <font>
      <sz val="12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sz val="8"/>
      <name val="Calibri"/>
      <family val="2"/>
      <scheme val="minor"/>
    </font>
    <font>
      <sz val="2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0" borderId="1" xfId="0" applyNumberFormat="1" applyFont="1" applyBorder="1"/>
    <xf numFmtId="16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49" fontId="7" fillId="2" borderId="1" xfId="0" applyNumberFormat="1" applyFont="1" applyFill="1" applyBorder="1"/>
    <xf numFmtId="164" fontId="7" fillId="2" borderId="1" xfId="0" applyNumberFormat="1" applyFont="1" applyFill="1" applyBorder="1" applyAlignment="1">
      <alignment horizontal="left"/>
    </xf>
    <xf numFmtId="164" fontId="7" fillId="2" borderId="1" xfId="0" applyNumberFormat="1" applyFont="1" applyFill="1" applyBorder="1"/>
    <xf numFmtId="0" fontId="6" fillId="2" borderId="1" xfId="0" applyFont="1" applyFill="1" applyBorder="1"/>
    <xf numFmtId="49" fontId="1" fillId="0" borderId="0" xfId="0" applyNumberFormat="1" applyFont="1"/>
    <xf numFmtId="0" fontId="1" fillId="0" borderId="0" xfId="0" applyFont="1"/>
    <xf numFmtId="0" fontId="2" fillId="0" borderId="1" xfId="0" applyFont="1" applyBorder="1" applyAlignment="1">
      <alignment horizontal="center"/>
    </xf>
    <xf numFmtId="3" fontId="1" fillId="0" borderId="1" xfId="0" applyNumberFormat="1" applyFont="1" applyBorder="1"/>
    <xf numFmtId="3" fontId="7" fillId="2" borderId="1" xfId="0" applyNumberFormat="1" applyFont="1" applyFill="1" applyBorder="1"/>
    <xf numFmtId="3" fontId="7" fillId="2" borderId="1" xfId="0" applyNumberFormat="1" applyFont="1" applyFill="1" applyBorder="1" applyAlignment="1">
      <alignment horizontal="left"/>
    </xf>
    <xf numFmtId="49" fontId="9" fillId="0" borderId="1" xfId="0" applyNumberFormat="1" applyFont="1" applyBorder="1"/>
    <xf numFmtId="3" fontId="1" fillId="0" borderId="1" xfId="0" applyNumberFormat="1" applyFont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0EC9-C0F7-D847-8E0B-6C0B6A5B7FF9}">
  <dimension ref="A1:E95"/>
  <sheetViews>
    <sheetView workbookViewId="0">
      <pane ySplit="1" topLeftCell="A88" activePane="bottomLeft" state="frozen"/>
      <selection pane="bottomLeft" activeCell="A71" sqref="A71"/>
    </sheetView>
  </sheetViews>
  <sheetFormatPr baseColWidth="10" defaultRowHeight="29" x14ac:dyDescent="0.35"/>
  <cols>
    <col min="1" max="1" width="25.83203125" style="1" bestFit="1" customWidth="1"/>
    <col min="2" max="3" width="24.5" style="2" customWidth="1"/>
    <col min="4" max="4" width="24.5" style="3" customWidth="1"/>
    <col min="5" max="5" width="106.6640625" style="4" bestFit="1" customWidth="1"/>
  </cols>
  <sheetData>
    <row r="1" spans="1:5" s="10" customFormat="1" x14ac:dyDescent="0.35">
      <c r="A1" s="7" t="s">
        <v>3</v>
      </c>
      <c r="B1" s="8" t="s">
        <v>0</v>
      </c>
      <c r="C1" s="8" t="s">
        <v>1</v>
      </c>
      <c r="D1" s="8" t="s">
        <v>2</v>
      </c>
      <c r="E1" s="9" t="s">
        <v>14</v>
      </c>
    </row>
    <row r="2" spans="1:5" x14ac:dyDescent="0.35">
      <c r="A2" s="1" t="s">
        <v>4</v>
      </c>
      <c r="B2" s="2">
        <v>0</v>
      </c>
      <c r="C2" s="2">
        <v>0</v>
      </c>
      <c r="D2" s="3">
        <v>1703146</v>
      </c>
    </row>
    <row r="3" spans="1:5" x14ac:dyDescent="0.35">
      <c r="A3" s="1" t="s">
        <v>6</v>
      </c>
      <c r="B3" s="2">
        <v>0</v>
      </c>
      <c r="C3" s="2">
        <v>0</v>
      </c>
      <c r="D3" s="3">
        <v>1703146</v>
      </c>
    </row>
    <row r="4" spans="1:5" x14ac:dyDescent="0.35">
      <c r="A4" s="1" t="s">
        <v>7</v>
      </c>
      <c r="B4" s="2">
        <v>0</v>
      </c>
      <c r="C4" s="2">
        <v>0</v>
      </c>
      <c r="D4" s="3">
        <v>1703146</v>
      </c>
    </row>
    <row r="5" spans="1:5" x14ac:dyDescent="0.35">
      <c r="A5" s="1" t="s">
        <v>8</v>
      </c>
      <c r="B5" s="2">
        <v>0</v>
      </c>
      <c r="C5" s="2">
        <v>30000</v>
      </c>
      <c r="D5" s="3">
        <f>D4-C5</f>
        <v>1673146</v>
      </c>
    </row>
    <row r="6" spans="1:5" x14ac:dyDescent="0.35">
      <c r="A6" s="1" t="s">
        <v>9</v>
      </c>
      <c r="B6" s="2">
        <v>0</v>
      </c>
      <c r="C6" s="2">
        <v>40000</v>
      </c>
      <c r="D6" s="3">
        <f>D5-C6</f>
        <v>1633146</v>
      </c>
    </row>
    <row r="7" spans="1:5" x14ac:dyDescent="0.35">
      <c r="A7" s="1" t="s">
        <v>5</v>
      </c>
      <c r="B7" s="2">
        <f>D7-D6</f>
        <v>190650</v>
      </c>
      <c r="C7" s="2">
        <v>0</v>
      </c>
      <c r="D7" s="3">
        <v>1823796</v>
      </c>
    </row>
    <row r="8" spans="1:5" x14ac:dyDescent="0.35">
      <c r="A8" s="1" t="s">
        <v>10</v>
      </c>
      <c r="B8" s="2">
        <v>0</v>
      </c>
      <c r="C8" s="2">
        <f>D7-D8</f>
        <v>38000</v>
      </c>
      <c r="D8" s="3">
        <f>500000+1000000+100000+110000+42000+33796</f>
        <v>1785796</v>
      </c>
    </row>
    <row r="9" spans="1:5" x14ac:dyDescent="0.35">
      <c r="A9" s="1" t="s">
        <v>11</v>
      </c>
      <c r="B9" s="2">
        <v>0</v>
      </c>
      <c r="C9" s="2">
        <v>33000</v>
      </c>
      <c r="D9" s="3">
        <f>D8-C9</f>
        <v>1752796</v>
      </c>
    </row>
    <row r="10" spans="1:5" x14ac:dyDescent="0.35">
      <c r="A10" s="1" t="s">
        <v>12</v>
      </c>
      <c r="B10" s="2">
        <v>0</v>
      </c>
      <c r="C10" s="2">
        <v>5000</v>
      </c>
      <c r="D10" s="3">
        <f>D9-C10</f>
        <v>1747796</v>
      </c>
    </row>
    <row r="11" spans="1:5" x14ac:dyDescent="0.35">
      <c r="A11" s="1" t="s">
        <v>13</v>
      </c>
      <c r="B11" s="2">
        <f>D11-D10+C11</f>
        <v>280832</v>
      </c>
      <c r="C11" s="2">
        <f>20000+5000+11000+12000+4000+130000</f>
        <v>182000</v>
      </c>
      <c r="D11" s="3">
        <f>1000000+400000+200000+20000+9000+347628-130000</f>
        <v>1846628</v>
      </c>
      <c r="E11" s="5" t="s">
        <v>24</v>
      </c>
    </row>
    <row r="12" spans="1:5" x14ac:dyDescent="0.35">
      <c r="A12" s="1" t="s">
        <v>15</v>
      </c>
      <c r="B12" s="2">
        <v>0</v>
      </c>
      <c r="C12" s="2">
        <f>20000+15000+5000+3000+10000</f>
        <v>53000</v>
      </c>
      <c r="D12" s="3">
        <f>D11+B12-C12</f>
        <v>1793628</v>
      </c>
    </row>
    <row r="13" spans="1:5" x14ac:dyDescent="0.35">
      <c r="A13" s="1" t="s">
        <v>16</v>
      </c>
      <c r="B13" s="2">
        <v>0</v>
      </c>
      <c r="C13" s="2">
        <f>40000+20000+995000+4000+40000</f>
        <v>1099000</v>
      </c>
      <c r="D13" s="3">
        <f>D12-C13</f>
        <v>694628</v>
      </c>
      <c r="E13" s="5" t="s">
        <v>22</v>
      </c>
    </row>
    <row r="14" spans="1:5" x14ac:dyDescent="0.35">
      <c r="A14" s="1" t="s">
        <v>17</v>
      </c>
      <c r="B14" s="2">
        <v>0</v>
      </c>
      <c r="C14" s="2">
        <v>0</v>
      </c>
      <c r="D14" s="3">
        <f>D13-C14</f>
        <v>694628</v>
      </c>
    </row>
    <row r="15" spans="1:5" x14ac:dyDescent="0.35">
      <c r="A15" s="1" t="s">
        <v>18</v>
      </c>
      <c r="B15" s="2">
        <v>0</v>
      </c>
      <c r="C15" s="2">
        <v>0</v>
      </c>
      <c r="D15" s="3">
        <f>D14-C15</f>
        <v>694628</v>
      </c>
    </row>
    <row r="16" spans="1:5" x14ac:dyDescent="0.35">
      <c r="A16" s="1" t="s">
        <v>19</v>
      </c>
      <c r="B16" s="2">
        <f>D16-D15+C16</f>
        <v>78873</v>
      </c>
      <c r="C16" s="2">
        <f>37000+1000</f>
        <v>38000</v>
      </c>
      <c r="D16" s="3">
        <f>453000+412501-130000</f>
        <v>735501</v>
      </c>
    </row>
    <row r="17" spans="1:5" x14ac:dyDescent="0.35">
      <c r="A17" s="1" t="s">
        <v>20</v>
      </c>
      <c r="B17" s="2">
        <f>D17-D16+C17</f>
        <v>426770</v>
      </c>
      <c r="C17" s="2">
        <v>5000</v>
      </c>
      <c r="D17" s="3">
        <f>750000+20000+387271</f>
        <v>1157271</v>
      </c>
      <c r="E17" s="6" t="s">
        <v>23</v>
      </c>
    </row>
    <row r="18" spans="1:5" x14ac:dyDescent="0.35">
      <c r="A18" s="1" t="s">
        <v>21</v>
      </c>
      <c r="B18" s="2">
        <f>D18-D17+C18</f>
        <v>178788</v>
      </c>
      <c r="C18" s="2">
        <f>13000+4000+12000</f>
        <v>29000</v>
      </c>
      <c r="D18" s="3">
        <f>1200000+75000+11000+21059</f>
        <v>1307059</v>
      </c>
    </row>
    <row r="19" spans="1:5" x14ac:dyDescent="0.35">
      <c r="A19" s="1" t="s">
        <v>25</v>
      </c>
      <c r="B19" s="2">
        <v>0</v>
      </c>
      <c r="C19" s="2">
        <f>23000+35000</f>
        <v>58000</v>
      </c>
      <c r="D19" s="3">
        <f t="shared" ref="D19:D24" si="0">D18-C19</f>
        <v>1249059</v>
      </c>
    </row>
    <row r="20" spans="1:5" x14ac:dyDescent="0.35">
      <c r="A20" s="1" t="s">
        <v>26</v>
      </c>
      <c r="B20" s="2">
        <v>0</v>
      </c>
      <c r="C20" s="2">
        <f>10000+3000+100000</f>
        <v>113000</v>
      </c>
      <c r="D20" s="3">
        <f t="shared" si="0"/>
        <v>1136059</v>
      </c>
      <c r="E20" s="6" t="s">
        <v>31</v>
      </c>
    </row>
    <row r="21" spans="1:5" x14ac:dyDescent="0.35">
      <c r="A21" s="1" t="s">
        <v>27</v>
      </c>
      <c r="B21" s="2">
        <v>0</v>
      </c>
      <c r="C21" s="2">
        <f>20000+3000+4000+20000+40000</f>
        <v>87000</v>
      </c>
      <c r="D21" s="3">
        <f t="shared" si="0"/>
        <v>1049059</v>
      </c>
    </row>
    <row r="22" spans="1:5" x14ac:dyDescent="0.35">
      <c r="A22" s="1" t="s">
        <v>28</v>
      </c>
      <c r="B22" s="2">
        <v>0</v>
      </c>
      <c r="C22" s="2">
        <f>2000+10000+50000</f>
        <v>62000</v>
      </c>
      <c r="D22" s="3">
        <f t="shared" si="0"/>
        <v>987059</v>
      </c>
    </row>
    <row r="23" spans="1:5" x14ac:dyDescent="0.35">
      <c r="A23" s="1" t="s">
        <v>29</v>
      </c>
      <c r="B23" s="2">
        <v>0</v>
      </c>
      <c r="C23" s="2">
        <f>150000+5000</f>
        <v>155000</v>
      </c>
      <c r="D23" s="3">
        <f t="shared" si="0"/>
        <v>832059</v>
      </c>
      <c r="E23" s="5" t="s">
        <v>109</v>
      </c>
    </row>
    <row r="24" spans="1:5" x14ac:dyDescent="0.35">
      <c r="A24" s="1" t="s">
        <v>30</v>
      </c>
      <c r="B24" s="2">
        <v>0</v>
      </c>
      <c r="C24" s="2">
        <v>5000</v>
      </c>
      <c r="D24" s="3">
        <f t="shared" si="0"/>
        <v>827059</v>
      </c>
    </row>
    <row r="25" spans="1:5" x14ac:dyDescent="0.35">
      <c r="A25" s="1" t="s">
        <v>32</v>
      </c>
      <c r="B25" s="2">
        <f>D25-D24+C25</f>
        <v>124555</v>
      </c>
      <c r="C25" s="2">
        <f>12000+24000+20000</f>
        <v>56000</v>
      </c>
      <c r="D25" s="3">
        <f>400000+190000+19000+286614</f>
        <v>895614</v>
      </c>
    </row>
    <row r="26" spans="1:5" x14ac:dyDescent="0.35">
      <c r="A26" s="1" t="s">
        <v>33</v>
      </c>
      <c r="B26" s="2">
        <v>0</v>
      </c>
      <c r="C26" s="2">
        <v>0</v>
      </c>
      <c r="D26" s="3">
        <f>D25</f>
        <v>895614</v>
      </c>
    </row>
    <row r="27" spans="1:5" x14ac:dyDescent="0.35">
      <c r="A27" s="1" t="s">
        <v>34</v>
      </c>
      <c r="B27" s="2">
        <v>0</v>
      </c>
      <c r="C27" s="2">
        <v>0</v>
      </c>
      <c r="D27" s="3">
        <f>D26</f>
        <v>895614</v>
      </c>
    </row>
    <row r="28" spans="1:5" x14ac:dyDescent="0.35">
      <c r="A28" s="1" t="s">
        <v>35</v>
      </c>
      <c r="B28" s="2">
        <v>0</v>
      </c>
      <c r="C28" s="2">
        <v>40000</v>
      </c>
      <c r="D28" s="3">
        <f>D27-C28</f>
        <v>855614</v>
      </c>
    </row>
    <row r="29" spans="1:5" x14ac:dyDescent="0.35">
      <c r="A29" s="1" t="s">
        <v>36</v>
      </c>
      <c r="B29" s="2">
        <v>0</v>
      </c>
      <c r="C29" s="2">
        <v>0</v>
      </c>
      <c r="D29" s="3">
        <f>D28</f>
        <v>855614</v>
      </c>
    </row>
    <row r="30" spans="1:5" x14ac:dyDescent="0.35">
      <c r="A30" s="1" t="s">
        <v>37</v>
      </c>
      <c r="B30" s="2">
        <v>0</v>
      </c>
      <c r="C30" s="2">
        <f>15000+30000+40000+30000+5000</f>
        <v>120000</v>
      </c>
      <c r="D30" s="3">
        <f>D29-C30</f>
        <v>735614</v>
      </c>
    </row>
    <row r="31" spans="1:5" x14ac:dyDescent="0.35">
      <c r="A31" s="1" t="s">
        <v>38</v>
      </c>
      <c r="B31" s="2">
        <v>72278</v>
      </c>
      <c r="C31" s="2">
        <f>5000+234000-135000</f>
        <v>104000</v>
      </c>
      <c r="D31" s="3">
        <f>D30-C31+B31</f>
        <v>703892</v>
      </c>
      <c r="E31" s="11" t="s">
        <v>40</v>
      </c>
    </row>
    <row r="32" spans="1:5" x14ac:dyDescent="0.35">
      <c r="A32" s="12" t="s">
        <v>41</v>
      </c>
      <c r="B32" s="13">
        <f>SUM(B2:B31)</f>
        <v>1352746</v>
      </c>
      <c r="C32" s="13">
        <f>SUM(C2:C31)</f>
        <v>2352000</v>
      </c>
      <c r="D32" s="14"/>
      <c r="E32" s="15"/>
    </row>
    <row r="33" spans="1:5" x14ac:dyDescent="0.35">
      <c r="A33" s="1" t="s">
        <v>39</v>
      </c>
      <c r="B33" s="2">
        <v>96208</v>
      </c>
      <c r="C33" s="2">
        <f>10000+29000</f>
        <v>39000</v>
      </c>
      <c r="D33" s="3">
        <f>100000+526100+135000+3000000</f>
        <v>3761100</v>
      </c>
      <c r="E33" s="5" t="s">
        <v>104</v>
      </c>
    </row>
    <row r="34" spans="1:5" x14ac:dyDescent="0.35">
      <c r="A34" s="1" t="s">
        <v>42</v>
      </c>
      <c r="B34" s="2">
        <v>0</v>
      </c>
      <c r="C34" s="2">
        <f>20000+30000+3000</f>
        <v>53000</v>
      </c>
      <c r="D34" s="3">
        <f t="shared" ref="D34:D39" si="1">D33-C34</f>
        <v>3708100</v>
      </c>
    </row>
    <row r="35" spans="1:5" x14ac:dyDescent="0.35">
      <c r="A35" s="1" t="s">
        <v>43</v>
      </c>
      <c r="B35" s="2">
        <v>0</v>
      </c>
      <c r="C35" s="2">
        <v>45000</v>
      </c>
      <c r="D35" s="3">
        <f t="shared" si="1"/>
        <v>3663100</v>
      </c>
    </row>
    <row r="36" spans="1:5" x14ac:dyDescent="0.35">
      <c r="A36" s="1" t="s">
        <v>44</v>
      </c>
      <c r="B36" s="2">
        <v>0</v>
      </c>
      <c r="C36" s="2">
        <v>26000</v>
      </c>
      <c r="D36" s="3">
        <f t="shared" si="1"/>
        <v>3637100</v>
      </c>
    </row>
    <row r="37" spans="1:5" x14ac:dyDescent="0.35">
      <c r="A37" s="1" t="s">
        <v>45</v>
      </c>
      <c r="B37" s="2">
        <v>0</v>
      </c>
      <c r="C37" s="2">
        <v>52000</v>
      </c>
      <c r="D37" s="3">
        <f t="shared" si="1"/>
        <v>3585100</v>
      </c>
    </row>
    <row r="38" spans="1:5" x14ac:dyDescent="0.35">
      <c r="A38" s="1" t="s">
        <v>46</v>
      </c>
      <c r="B38" s="2">
        <v>0</v>
      </c>
      <c r="C38" s="2">
        <f>35000</f>
        <v>35000</v>
      </c>
      <c r="D38" s="3">
        <f t="shared" si="1"/>
        <v>3550100</v>
      </c>
    </row>
    <row r="39" spans="1:5" x14ac:dyDescent="0.35">
      <c r="A39" s="1" t="s">
        <v>47</v>
      </c>
      <c r="B39" s="2">
        <v>0</v>
      </c>
      <c r="C39" s="2">
        <f>5000+27000</f>
        <v>32000</v>
      </c>
      <c r="D39" s="3">
        <f t="shared" si="1"/>
        <v>3518100</v>
      </c>
    </row>
    <row r="40" spans="1:5" x14ac:dyDescent="0.35">
      <c r="A40" s="1" t="s">
        <v>48</v>
      </c>
      <c r="B40" s="2">
        <f>D40-D39+C40</f>
        <v>57550</v>
      </c>
      <c r="C40" s="2">
        <f>40000</f>
        <v>40000</v>
      </c>
      <c r="D40" s="3">
        <f>900000+110000+35000+490650+2000000</f>
        <v>3535650</v>
      </c>
    </row>
    <row r="41" spans="1:5" x14ac:dyDescent="0.35">
      <c r="A41" s="1" t="s">
        <v>49</v>
      </c>
      <c r="B41" s="2">
        <v>13500</v>
      </c>
      <c r="C41" s="2">
        <v>0</v>
      </c>
      <c r="D41" s="3">
        <f>D40+B41</f>
        <v>3549150</v>
      </c>
    </row>
    <row r="42" spans="1:5" x14ac:dyDescent="0.35">
      <c r="A42" s="1" t="s">
        <v>50</v>
      </c>
      <c r="B42" s="2">
        <v>0</v>
      </c>
      <c r="C42" s="2">
        <v>330000</v>
      </c>
      <c r="D42" s="3">
        <f>D41-C42</f>
        <v>3219150</v>
      </c>
      <c r="E42" s="5" t="s">
        <v>108</v>
      </c>
    </row>
    <row r="43" spans="1:5" x14ac:dyDescent="0.35">
      <c r="A43" s="1" t="s">
        <v>51</v>
      </c>
      <c r="B43" s="2">
        <f>D43-D42+C43</f>
        <v>204275</v>
      </c>
      <c r="C43" s="2">
        <f>130000+12000+35000</f>
        <v>177000</v>
      </c>
      <c r="D43" s="3">
        <f>700000+135000+34000+377425+2000000</f>
        <v>3246425</v>
      </c>
      <c r="E43" s="5" t="s">
        <v>105</v>
      </c>
    </row>
    <row r="44" spans="1:5" x14ac:dyDescent="0.35">
      <c r="A44" s="1" t="s">
        <v>52</v>
      </c>
      <c r="B44" s="2">
        <v>0</v>
      </c>
      <c r="C44" s="2">
        <f>20000+35000</f>
        <v>55000</v>
      </c>
      <c r="D44" s="3">
        <f>794000+377425+2000000</f>
        <v>3171425</v>
      </c>
    </row>
    <row r="45" spans="1:5" x14ac:dyDescent="0.35">
      <c r="A45" s="1" t="s">
        <v>53</v>
      </c>
      <c r="B45" s="2">
        <v>0</v>
      </c>
      <c r="C45" s="2">
        <f>D44-D45</f>
        <v>185000</v>
      </c>
      <c r="D45" s="3">
        <f>500000+50000+40000+19000+377425+2000000</f>
        <v>2986425</v>
      </c>
      <c r="E45" s="5" t="s">
        <v>106</v>
      </c>
    </row>
    <row r="46" spans="1:5" x14ac:dyDescent="0.35">
      <c r="A46" s="1" t="s">
        <v>54</v>
      </c>
      <c r="B46" s="2">
        <f>15840+260</f>
        <v>16100</v>
      </c>
      <c r="C46" s="2">
        <v>25000</v>
      </c>
      <c r="D46" s="3">
        <f>D45+B46-C46</f>
        <v>2977525</v>
      </c>
    </row>
    <row r="47" spans="1:5" x14ac:dyDescent="0.35">
      <c r="A47" s="1" t="s">
        <v>55</v>
      </c>
      <c r="B47" s="2">
        <f>13500+4000</f>
        <v>17500</v>
      </c>
      <c r="C47" s="2">
        <v>25000</v>
      </c>
      <c r="D47" s="3">
        <f>D46-C47+B47</f>
        <v>2970025</v>
      </c>
    </row>
    <row r="48" spans="1:5" x14ac:dyDescent="0.35">
      <c r="A48" s="1" t="s">
        <v>56</v>
      </c>
      <c r="B48" s="2">
        <f>D48-D47+C48</f>
        <v>104110</v>
      </c>
      <c r="C48" s="2">
        <f>10000+20000+35000</f>
        <v>65000</v>
      </c>
      <c r="D48" s="3">
        <f>650000+6000+353135+2000000</f>
        <v>3009135</v>
      </c>
      <c r="E48" s="5" t="s">
        <v>107</v>
      </c>
    </row>
    <row r="49" spans="1:5" x14ac:dyDescent="0.35">
      <c r="A49" s="1" t="s">
        <v>57</v>
      </c>
      <c r="B49" s="2">
        <v>0</v>
      </c>
      <c r="C49" s="2">
        <v>20000</v>
      </c>
      <c r="D49" s="3">
        <f>D48-C49</f>
        <v>2989135</v>
      </c>
    </row>
    <row r="50" spans="1:5" x14ac:dyDescent="0.35">
      <c r="A50" s="1" t="s">
        <v>58</v>
      </c>
      <c r="B50" s="2">
        <v>0</v>
      </c>
      <c r="C50" s="2">
        <v>0</v>
      </c>
      <c r="D50" s="3">
        <f>D49-C50</f>
        <v>2989135</v>
      </c>
    </row>
    <row r="51" spans="1:5" x14ac:dyDescent="0.35">
      <c r="A51" s="1" t="s">
        <v>59</v>
      </c>
      <c r="B51" s="2">
        <f>D51-D50</f>
        <v>75000</v>
      </c>
      <c r="C51" s="2">
        <v>0</v>
      </c>
      <c r="D51" s="3">
        <f>600000+90000+5000+16000+353135+2000000</f>
        <v>3064135</v>
      </c>
    </row>
    <row r="52" spans="1:5" x14ac:dyDescent="0.35">
      <c r="A52" s="1" t="s">
        <v>60</v>
      </c>
      <c r="B52" s="2">
        <f>55011+2000+400</f>
        <v>57411</v>
      </c>
      <c r="C52" s="2">
        <f>10000+20000+300000+30000+10000+14000+30000</f>
        <v>414000</v>
      </c>
      <c r="D52" s="3">
        <f>D51-C52+B52</f>
        <v>2707546</v>
      </c>
      <c r="E52" s="6" t="s">
        <v>110</v>
      </c>
    </row>
    <row r="53" spans="1:5" x14ac:dyDescent="0.35">
      <c r="A53" s="1" t="s">
        <v>61</v>
      </c>
      <c r="B53" s="2">
        <v>16650</v>
      </c>
      <c r="C53" s="2">
        <v>0</v>
      </c>
      <c r="D53" s="3">
        <f>D52+B53</f>
        <v>2724196</v>
      </c>
    </row>
    <row r="54" spans="1:5" x14ac:dyDescent="0.35">
      <c r="A54" s="1" t="s">
        <v>62</v>
      </c>
      <c r="B54" s="2">
        <f>D54-D53+C54</f>
        <v>1325583</v>
      </c>
      <c r="C54" s="2">
        <v>5000</v>
      </c>
      <c r="D54" s="3">
        <f>1000000+200000+31000+813779+2000000</f>
        <v>4044779</v>
      </c>
      <c r="E54" s="5" t="s">
        <v>111</v>
      </c>
    </row>
    <row r="55" spans="1:5" x14ac:dyDescent="0.35">
      <c r="A55" s="1" t="s">
        <v>63</v>
      </c>
      <c r="B55" s="2">
        <v>0</v>
      </c>
      <c r="C55" s="2">
        <v>20000</v>
      </c>
      <c r="D55" s="3">
        <f t="shared" ref="D55:D60" si="2">D54-C55</f>
        <v>4024779</v>
      </c>
    </row>
    <row r="56" spans="1:5" x14ac:dyDescent="0.35">
      <c r="A56" s="1" t="s">
        <v>64</v>
      </c>
      <c r="B56" s="2">
        <v>0</v>
      </c>
      <c r="C56" s="2">
        <f>10000+3000+6000+40000</f>
        <v>59000</v>
      </c>
      <c r="D56" s="3">
        <f t="shared" si="2"/>
        <v>3965779</v>
      </c>
    </row>
    <row r="57" spans="1:5" x14ac:dyDescent="0.35">
      <c r="A57" s="1" t="s">
        <v>65</v>
      </c>
      <c r="B57" s="2">
        <v>0</v>
      </c>
      <c r="C57" s="2">
        <v>50000</v>
      </c>
      <c r="D57" s="3">
        <f t="shared" si="2"/>
        <v>3915779</v>
      </c>
    </row>
    <row r="58" spans="1:5" x14ac:dyDescent="0.35">
      <c r="A58" s="1" t="s">
        <v>66</v>
      </c>
      <c r="B58" s="2">
        <v>0</v>
      </c>
      <c r="C58" s="2">
        <v>0</v>
      </c>
      <c r="D58" s="3">
        <f t="shared" si="2"/>
        <v>3915779</v>
      </c>
    </row>
    <row r="59" spans="1:5" x14ac:dyDescent="0.35">
      <c r="A59" s="1" t="s">
        <v>67</v>
      </c>
      <c r="B59" s="2">
        <v>0</v>
      </c>
      <c r="C59" s="2">
        <v>0</v>
      </c>
      <c r="D59" s="3">
        <f t="shared" si="2"/>
        <v>3915779</v>
      </c>
    </row>
    <row r="60" spans="1:5" x14ac:dyDescent="0.35">
      <c r="A60" s="1" t="s">
        <v>68</v>
      </c>
      <c r="B60" s="2">
        <v>0</v>
      </c>
      <c r="C60" s="2">
        <f>40000+45000+40000+102000-63000-47000+125000-15000</f>
        <v>227000</v>
      </c>
      <c r="D60" s="3">
        <f t="shared" si="2"/>
        <v>3688779</v>
      </c>
      <c r="E60" s="5" t="s">
        <v>173</v>
      </c>
    </row>
    <row r="61" spans="1:5" x14ac:dyDescent="0.35">
      <c r="A61" s="1" t="s">
        <v>69</v>
      </c>
      <c r="B61" s="2">
        <f>D61-D60+C61</f>
        <v>85013</v>
      </c>
      <c r="C61" s="2">
        <v>30000</v>
      </c>
      <c r="D61" s="3">
        <v>3743792</v>
      </c>
    </row>
    <row r="62" spans="1:5" x14ac:dyDescent="0.35">
      <c r="A62" s="1" t="s">
        <v>70</v>
      </c>
      <c r="B62" s="2">
        <v>0</v>
      </c>
      <c r="C62" s="2">
        <f>20000+20000+8000+40000</f>
        <v>88000</v>
      </c>
      <c r="D62" s="3">
        <f>D61-C62</f>
        <v>3655792</v>
      </c>
    </row>
    <row r="63" spans="1:5" x14ac:dyDescent="0.35">
      <c r="A63" s="12" t="s">
        <v>71</v>
      </c>
      <c r="B63" s="13">
        <f>SUM(B33:B62)</f>
        <v>2068900</v>
      </c>
      <c r="C63" s="13">
        <f>SUM(C33:C62)</f>
        <v>2097000</v>
      </c>
      <c r="D63" s="14"/>
      <c r="E63" s="15"/>
    </row>
    <row r="64" spans="1:5" x14ac:dyDescent="0.35">
      <c r="A64" s="1" t="s">
        <v>72</v>
      </c>
      <c r="B64" s="2">
        <v>0</v>
      </c>
      <c r="C64" s="2">
        <v>0</v>
      </c>
      <c r="D64" s="3">
        <f>D62</f>
        <v>3655792</v>
      </c>
    </row>
    <row r="65" spans="1:5" x14ac:dyDescent="0.35">
      <c r="A65" s="1" t="s">
        <v>73</v>
      </c>
      <c r="B65" s="2">
        <f>D65-D64+C65</f>
        <v>34900</v>
      </c>
      <c r="C65" s="2">
        <v>16000</v>
      </c>
      <c r="D65" s="3">
        <f>1600000+43000+31692+2000000</f>
        <v>3674692</v>
      </c>
    </row>
    <row r="66" spans="1:5" x14ac:dyDescent="0.35">
      <c r="A66" s="1" t="s">
        <v>74</v>
      </c>
      <c r="B66" s="2">
        <v>0</v>
      </c>
      <c r="C66" s="2">
        <f>20000+3000</f>
        <v>23000</v>
      </c>
      <c r="D66" s="3">
        <f>D65-C66</f>
        <v>3651692</v>
      </c>
    </row>
    <row r="67" spans="1:5" x14ac:dyDescent="0.35">
      <c r="A67" s="1" t="s">
        <v>75</v>
      </c>
      <c r="B67" s="2">
        <v>0</v>
      </c>
      <c r="C67" s="2">
        <f>70000+25000+20000</f>
        <v>115000</v>
      </c>
      <c r="D67" s="3">
        <f>D66-C67</f>
        <v>3536692</v>
      </c>
      <c r="E67" s="5" t="s">
        <v>174</v>
      </c>
    </row>
    <row r="68" spans="1:5" x14ac:dyDescent="0.35">
      <c r="A68" s="1" t="s">
        <v>76</v>
      </c>
      <c r="B68" s="2">
        <v>40815</v>
      </c>
      <c r="C68" s="2">
        <v>30000</v>
      </c>
      <c r="D68" s="3">
        <f>D67+B68-C68</f>
        <v>3547507</v>
      </c>
    </row>
    <row r="69" spans="1:5" x14ac:dyDescent="0.35">
      <c r="A69" s="1" t="s">
        <v>77</v>
      </c>
      <c r="B69" s="2">
        <v>110000</v>
      </c>
      <c r="C69" s="2">
        <v>0</v>
      </c>
      <c r="D69" s="3">
        <f>D68+B69</f>
        <v>3657507</v>
      </c>
      <c r="E69" s="5" t="s">
        <v>175</v>
      </c>
    </row>
    <row r="70" spans="1:5" x14ac:dyDescent="0.35">
      <c r="A70" s="1" t="s">
        <v>78</v>
      </c>
      <c r="B70" s="2">
        <v>0</v>
      </c>
      <c r="C70" s="2">
        <v>25000</v>
      </c>
      <c r="D70" s="3">
        <f>D69-C70</f>
        <v>3632507</v>
      </c>
    </row>
    <row r="71" spans="1:5" x14ac:dyDescent="0.35">
      <c r="A71" s="1" t="s">
        <v>79</v>
      </c>
      <c r="B71" s="2">
        <v>0</v>
      </c>
      <c r="C71" s="2">
        <v>255000</v>
      </c>
      <c r="D71" s="3">
        <f>D70-C71</f>
        <v>3377507</v>
      </c>
      <c r="E71" s="5" t="s">
        <v>176</v>
      </c>
    </row>
    <row r="72" spans="1:5" x14ac:dyDescent="0.35">
      <c r="A72" s="1" t="s">
        <v>80</v>
      </c>
      <c r="B72" s="2">
        <v>0</v>
      </c>
      <c r="C72" s="2">
        <f>30000+30000+12000+10000</f>
        <v>82000</v>
      </c>
      <c r="D72" s="3">
        <f>D71-C72</f>
        <v>3295507</v>
      </c>
    </row>
    <row r="73" spans="1:5" x14ac:dyDescent="0.35">
      <c r="A73" s="1" t="s">
        <v>81</v>
      </c>
      <c r="B73" s="2">
        <v>0</v>
      </c>
      <c r="C73" s="2">
        <v>0</v>
      </c>
      <c r="D73" s="3">
        <f>D72-C73</f>
        <v>3295507</v>
      </c>
    </row>
    <row r="74" spans="1:5" x14ac:dyDescent="0.35">
      <c r="A74" s="1" t="s">
        <v>82</v>
      </c>
      <c r="B74" s="2">
        <v>0</v>
      </c>
      <c r="C74" s="2">
        <v>110000</v>
      </c>
      <c r="D74" s="3">
        <f>D73-C74</f>
        <v>3185507</v>
      </c>
      <c r="E74" s="5" t="s">
        <v>177</v>
      </c>
    </row>
    <row r="75" spans="1:5" x14ac:dyDescent="0.35">
      <c r="A75" s="1" t="s">
        <v>83</v>
      </c>
      <c r="B75" s="2">
        <f>D75-D74+C75</f>
        <v>392511</v>
      </c>
      <c r="C75" s="2">
        <f>40000+20000</f>
        <v>60000</v>
      </c>
      <c r="D75" s="3">
        <f>1300000+170000+24000+24018+2000000</f>
        <v>3518018</v>
      </c>
    </row>
    <row r="76" spans="1:5" x14ac:dyDescent="0.35">
      <c r="A76" s="1" t="s">
        <v>84</v>
      </c>
      <c r="B76" s="2">
        <f>D76-D75+C76</f>
        <v>998003</v>
      </c>
      <c r="C76" s="2">
        <v>40000</v>
      </c>
      <c r="D76" s="3">
        <f>4000000+150000+39000+287021</f>
        <v>4476021</v>
      </c>
      <c r="E76" s="5" t="s">
        <v>178</v>
      </c>
    </row>
    <row r="77" spans="1:5" x14ac:dyDescent="0.35">
      <c r="A77" s="1" t="s">
        <v>85</v>
      </c>
      <c r="B77" s="2">
        <f>D77-D76+C77</f>
        <v>278407</v>
      </c>
      <c r="C77" s="2">
        <f>500000+4000+35000</f>
        <v>539000</v>
      </c>
      <c r="D77" s="3">
        <f>1600000+280000+8000+2000000+327428</f>
        <v>4215428</v>
      </c>
      <c r="E77" s="5" t="s">
        <v>179</v>
      </c>
    </row>
    <row r="78" spans="1:5" x14ac:dyDescent="0.35">
      <c r="A78" s="1" t="s">
        <v>86</v>
      </c>
      <c r="B78" s="2">
        <f>D78-D77+C78</f>
        <v>294446</v>
      </c>
      <c r="C78" s="2">
        <v>40000</v>
      </c>
      <c r="D78" s="3">
        <f>2300000+2000000+89000+80874</f>
        <v>4469874</v>
      </c>
    </row>
    <row r="79" spans="1:5" x14ac:dyDescent="0.35">
      <c r="A79" s="1" t="s">
        <v>87</v>
      </c>
      <c r="B79" s="2">
        <f>D79-D78+C79</f>
        <v>65619</v>
      </c>
      <c r="C79" s="2">
        <f>19000+3000</f>
        <v>22000</v>
      </c>
      <c r="D79" s="3">
        <f>4300000+137000+76493</f>
        <v>4513493</v>
      </c>
    </row>
    <row r="80" spans="1:5" x14ac:dyDescent="0.35">
      <c r="A80" s="1" t="s">
        <v>88</v>
      </c>
      <c r="B80" s="2">
        <v>0</v>
      </c>
      <c r="C80" s="2">
        <v>0</v>
      </c>
      <c r="D80" s="3">
        <f>D79-C80</f>
        <v>4513493</v>
      </c>
      <c r="E80" s="5" t="s">
        <v>180</v>
      </c>
    </row>
    <row r="81" spans="1:5" x14ac:dyDescent="0.35">
      <c r="A81" s="1" t="s">
        <v>89</v>
      </c>
      <c r="B81" s="2">
        <v>0</v>
      </c>
      <c r="C81" s="2">
        <f>D79-D81</f>
        <v>765000</v>
      </c>
      <c r="D81" s="3">
        <f>1400000+2000000+62000+76493+210000</f>
        <v>3748493</v>
      </c>
      <c r="E81" s="5" t="s">
        <v>181</v>
      </c>
    </row>
    <row r="82" spans="1:5" x14ac:dyDescent="0.35">
      <c r="A82" s="1" t="s">
        <v>90</v>
      </c>
      <c r="B82" s="2">
        <f>D82-D81+C82</f>
        <v>248314</v>
      </c>
      <c r="C82" s="2">
        <v>47000</v>
      </c>
      <c r="D82" s="3">
        <f>1600000+95000+10000+2000000+34807+210000</f>
        <v>3949807</v>
      </c>
    </row>
    <row r="83" spans="1:5" x14ac:dyDescent="0.35">
      <c r="A83" s="1" t="s">
        <v>91</v>
      </c>
      <c r="B83" s="2">
        <f>D83-D82</f>
        <v>256406</v>
      </c>
      <c r="C83" s="2">
        <v>0</v>
      </c>
      <c r="D83" s="3">
        <f>1700000+2000000+235000+30000+31213+210000</f>
        <v>4206213</v>
      </c>
    </row>
    <row r="84" spans="1:5" x14ac:dyDescent="0.35">
      <c r="A84" s="1" t="s">
        <v>92</v>
      </c>
      <c r="B84" s="2">
        <v>0</v>
      </c>
      <c r="C84" s="2">
        <v>23000</v>
      </c>
      <c r="D84" s="3">
        <f>D83-C84</f>
        <v>4183213</v>
      </c>
    </row>
    <row r="85" spans="1:5" x14ac:dyDescent="0.35">
      <c r="A85" s="1" t="s">
        <v>93</v>
      </c>
      <c r="B85" s="2">
        <v>0</v>
      </c>
      <c r="C85" s="2">
        <v>40000</v>
      </c>
      <c r="D85" s="3">
        <f>D84-C85</f>
        <v>4143213</v>
      </c>
    </row>
    <row r="86" spans="1:5" x14ac:dyDescent="0.35">
      <c r="A86" s="1" t="s">
        <v>94</v>
      </c>
      <c r="B86" s="2">
        <v>0</v>
      </c>
      <c r="C86" s="2">
        <v>0</v>
      </c>
      <c r="D86" s="3">
        <f>D85-C86</f>
        <v>4143213</v>
      </c>
    </row>
    <row r="87" spans="1:5" x14ac:dyDescent="0.35">
      <c r="A87" s="1" t="s">
        <v>95</v>
      </c>
      <c r="B87" s="2">
        <v>0</v>
      </c>
      <c r="C87" s="2">
        <f>530000+750000+5000</f>
        <v>1285000</v>
      </c>
      <c r="D87" s="3">
        <f>D86-C87</f>
        <v>2858213</v>
      </c>
      <c r="E87" s="5" t="s">
        <v>182</v>
      </c>
    </row>
    <row r="88" spans="1:5" x14ac:dyDescent="0.35">
      <c r="A88" s="1" t="s">
        <v>96</v>
      </c>
      <c r="B88" s="2">
        <f>D88-D87+C88</f>
        <v>177360</v>
      </c>
      <c r="C88" s="2">
        <f>78000+40000</f>
        <v>118000</v>
      </c>
      <c r="D88" s="3">
        <f>650000+120000+25000+34000+2000000+78573+230000-220000</f>
        <v>2917573</v>
      </c>
      <c r="E88" s="5" t="s">
        <v>183</v>
      </c>
    </row>
    <row r="89" spans="1:5" x14ac:dyDescent="0.35">
      <c r="A89" s="1" t="s">
        <v>97</v>
      </c>
      <c r="B89" s="2">
        <f>D89-D88</f>
        <v>174662</v>
      </c>
      <c r="C89" s="2">
        <v>0</v>
      </c>
      <c r="D89" s="3">
        <f>200000+400000+150000+30000+43000+259235+2000000+10000</f>
        <v>3092235</v>
      </c>
    </row>
    <row r="90" spans="1:5" x14ac:dyDescent="0.35">
      <c r="A90" s="1" t="s">
        <v>98</v>
      </c>
      <c r="B90" s="2">
        <f>D90-D89+C90</f>
        <v>82698</v>
      </c>
      <c r="C90" s="2">
        <f>112000+17000+20000+4000+10000</f>
        <v>163000</v>
      </c>
      <c r="D90" s="3">
        <f>550000+120000+14000+16000+2000000+301933+10000</f>
        <v>3011933</v>
      </c>
      <c r="E90" s="5" t="s">
        <v>184</v>
      </c>
    </row>
    <row r="91" spans="1:5" x14ac:dyDescent="0.35">
      <c r="A91" s="1" t="s">
        <v>99</v>
      </c>
      <c r="B91" s="2">
        <v>0</v>
      </c>
      <c r="C91" s="2">
        <f>50000+20000+15000+38000+50000</f>
        <v>173000</v>
      </c>
      <c r="D91" s="3">
        <f>D90-C91</f>
        <v>2838933</v>
      </c>
      <c r="E91" s="5" t="s">
        <v>185</v>
      </c>
    </row>
    <row r="92" spans="1:5" x14ac:dyDescent="0.35">
      <c r="A92" s="1" t="s">
        <v>100</v>
      </c>
      <c r="B92" s="2">
        <v>0</v>
      </c>
      <c r="C92" s="2">
        <f>29000+20000+14000</f>
        <v>63000</v>
      </c>
      <c r="D92" s="3">
        <f>D91-C92</f>
        <v>2775933</v>
      </c>
    </row>
    <row r="93" spans="1:5" x14ac:dyDescent="0.35">
      <c r="A93" s="1" t="s">
        <v>101</v>
      </c>
      <c r="B93" s="2">
        <f>D93-D92+C93</f>
        <v>131596</v>
      </c>
      <c r="C93" s="2">
        <f>14000+40000</f>
        <v>54000</v>
      </c>
      <c r="D93" s="3">
        <f>72529+2000000+700000+81000</f>
        <v>2853529</v>
      </c>
    </row>
    <row r="94" spans="1:5" x14ac:dyDescent="0.35">
      <c r="A94" s="1" t="s">
        <v>102</v>
      </c>
      <c r="B94" s="2">
        <v>0</v>
      </c>
      <c r="C94" s="2">
        <v>45000</v>
      </c>
      <c r="D94" s="3">
        <f>D93-C94</f>
        <v>2808529</v>
      </c>
    </row>
    <row r="95" spans="1:5" x14ac:dyDescent="0.35">
      <c r="A95" s="12" t="s">
        <v>103</v>
      </c>
      <c r="B95" s="13">
        <f>SUM(B64:B94)</f>
        <v>3285737</v>
      </c>
      <c r="C95" s="13">
        <f>SUM(C64:C94)</f>
        <v>4133000</v>
      </c>
      <c r="D95" s="14"/>
      <c r="E95" s="15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46DD-D2A3-F445-AB49-F44E01711032}">
  <dimension ref="A1:E1048576"/>
  <sheetViews>
    <sheetView tabSelected="1" zoomScale="90" zoomScaleNormal="90" workbookViewId="0">
      <pane ySplit="1" topLeftCell="A159" activePane="bottomLeft" state="frozen"/>
      <selection pane="bottomLeft" activeCell="B183" sqref="B183"/>
    </sheetView>
  </sheetViews>
  <sheetFormatPr baseColWidth="10" defaultRowHeight="29" x14ac:dyDescent="0.35"/>
  <cols>
    <col min="1" max="1" width="26.1640625" style="16" bestFit="1" customWidth="1"/>
    <col min="2" max="2" width="25.1640625" style="17" customWidth="1"/>
    <col min="3" max="3" width="24.5" style="17" customWidth="1"/>
    <col min="4" max="4" width="25.83203125" style="17" customWidth="1"/>
    <col min="5" max="5" width="154.1640625" style="25" bestFit="1" customWidth="1"/>
  </cols>
  <sheetData>
    <row r="1" spans="1:5" x14ac:dyDescent="0.35">
      <c r="A1" s="7" t="s">
        <v>3</v>
      </c>
      <c r="B1" s="8" t="s">
        <v>0</v>
      </c>
      <c r="C1" s="8" t="s">
        <v>1</v>
      </c>
      <c r="D1" s="8" t="s">
        <v>2</v>
      </c>
      <c r="E1" s="18" t="s">
        <v>14</v>
      </c>
    </row>
    <row r="2" spans="1:5" x14ac:dyDescent="0.35">
      <c r="A2" s="1" t="s">
        <v>112</v>
      </c>
      <c r="B2" s="23">
        <f>D2-2808529+C2</f>
        <v>201916</v>
      </c>
      <c r="C2" s="23">
        <f>20000+30000</f>
        <v>50000</v>
      </c>
      <c r="D2" s="19">
        <f>800000+77000+2000000+83445</f>
        <v>2960445</v>
      </c>
      <c r="E2" s="5"/>
    </row>
    <row r="3" spans="1:5" x14ac:dyDescent="0.35">
      <c r="A3" s="1" t="s">
        <v>113</v>
      </c>
      <c r="B3" s="23">
        <f>D3-D2</f>
        <v>416250</v>
      </c>
      <c r="C3" s="23">
        <v>0</v>
      </c>
      <c r="D3" s="19">
        <f>3200000+93000+83695</f>
        <v>3376695</v>
      </c>
      <c r="E3" s="5" t="s">
        <v>186</v>
      </c>
    </row>
    <row r="4" spans="1:5" x14ac:dyDescent="0.35">
      <c r="A4" s="1" t="s">
        <v>114</v>
      </c>
      <c r="B4" s="23">
        <f>D4-D3+C4</f>
        <v>147487</v>
      </c>
      <c r="C4" s="23">
        <f>13000+28000+15000+43000</f>
        <v>99000</v>
      </c>
      <c r="D4" s="19">
        <f>3000000+300000+65000+45000+15182</f>
        <v>3425182</v>
      </c>
      <c r="E4" s="5"/>
    </row>
    <row r="5" spans="1:5" x14ac:dyDescent="0.35">
      <c r="A5" s="1" t="s">
        <v>115</v>
      </c>
      <c r="B5" s="23">
        <v>0</v>
      </c>
      <c r="C5" s="23">
        <v>0</v>
      </c>
      <c r="D5" s="19">
        <f>D4-C5</f>
        <v>3425182</v>
      </c>
      <c r="E5" s="5"/>
    </row>
    <row r="6" spans="1:5" x14ac:dyDescent="0.35">
      <c r="A6" s="1" t="s">
        <v>116</v>
      </c>
      <c r="B6" s="23">
        <v>0</v>
      </c>
      <c r="C6" s="23">
        <f>15000+30000+15000</f>
        <v>60000</v>
      </c>
      <c r="D6" s="19">
        <f>D5-C6</f>
        <v>3365182</v>
      </c>
      <c r="E6" s="5"/>
    </row>
    <row r="7" spans="1:5" x14ac:dyDescent="0.35">
      <c r="A7" s="1" t="s">
        <v>117</v>
      </c>
      <c r="B7" s="23">
        <v>0</v>
      </c>
      <c r="C7" s="23">
        <f>40000+85000+70000+377000</f>
        <v>572000</v>
      </c>
      <c r="D7" s="19">
        <f>D6-C7</f>
        <v>2793182</v>
      </c>
      <c r="E7" s="5" t="s">
        <v>249</v>
      </c>
    </row>
    <row r="8" spans="1:5" x14ac:dyDescent="0.35">
      <c r="A8" s="1" t="s">
        <v>118</v>
      </c>
      <c r="B8" s="23">
        <v>0</v>
      </c>
      <c r="C8" s="23">
        <v>0</v>
      </c>
      <c r="D8" s="19">
        <f>D7</f>
        <v>2793182</v>
      </c>
      <c r="E8" s="5"/>
    </row>
    <row r="9" spans="1:5" x14ac:dyDescent="0.35">
      <c r="A9" s="1" t="s">
        <v>119</v>
      </c>
      <c r="B9" s="23">
        <v>0</v>
      </c>
      <c r="C9" s="23">
        <v>25000</v>
      </c>
      <c r="D9" s="19">
        <f>D8-C9</f>
        <v>2768182</v>
      </c>
      <c r="E9" s="5"/>
    </row>
    <row r="10" spans="1:5" x14ac:dyDescent="0.35">
      <c r="A10" s="1" t="s">
        <v>120</v>
      </c>
      <c r="B10" s="23">
        <v>0</v>
      </c>
      <c r="C10" s="23">
        <v>29000</v>
      </c>
      <c r="D10" s="19">
        <f>D9-C10</f>
        <v>2739182</v>
      </c>
      <c r="E10" s="5"/>
    </row>
    <row r="11" spans="1:5" x14ac:dyDescent="0.35">
      <c r="A11" s="1" t="s">
        <v>121</v>
      </c>
      <c r="B11" s="23">
        <v>0</v>
      </c>
      <c r="C11" s="23">
        <v>0</v>
      </c>
      <c r="D11" s="19">
        <f>D10-C11</f>
        <v>2739182</v>
      </c>
      <c r="E11" s="5"/>
    </row>
    <row r="12" spans="1:5" x14ac:dyDescent="0.35">
      <c r="A12" s="1" t="s">
        <v>122</v>
      </c>
      <c r="B12" s="23">
        <f>15000-1500</f>
        <v>13500</v>
      </c>
      <c r="C12" s="23">
        <f>40000+20000+10000</f>
        <v>70000</v>
      </c>
      <c r="D12" s="19">
        <f>D11-C12+B12</f>
        <v>2682682</v>
      </c>
      <c r="E12" s="5"/>
    </row>
    <row r="13" spans="1:5" x14ac:dyDescent="0.35">
      <c r="A13" s="1" t="s">
        <v>123</v>
      </c>
      <c r="B13" s="23">
        <v>0</v>
      </c>
      <c r="C13" s="23">
        <f>59000</f>
        <v>59000</v>
      </c>
      <c r="D13" s="19">
        <f>D12-C13</f>
        <v>2623682</v>
      </c>
      <c r="E13" s="5"/>
    </row>
    <row r="14" spans="1:5" x14ac:dyDescent="0.35">
      <c r="A14" s="1" t="s">
        <v>124</v>
      </c>
      <c r="B14" s="23">
        <v>0</v>
      </c>
      <c r="C14" s="23">
        <v>80000</v>
      </c>
      <c r="D14" s="19">
        <f>D13-C14</f>
        <v>2543682</v>
      </c>
      <c r="E14" s="5" t="s">
        <v>250</v>
      </c>
    </row>
    <row r="15" spans="1:5" x14ac:dyDescent="0.35">
      <c r="A15" s="1" t="s">
        <v>125</v>
      </c>
      <c r="B15" s="23">
        <v>37989</v>
      </c>
      <c r="C15" s="23">
        <v>0</v>
      </c>
      <c r="D15" s="19">
        <f>D14+B15</f>
        <v>2581671</v>
      </c>
      <c r="E15" s="5"/>
    </row>
    <row r="16" spans="1:5" x14ac:dyDescent="0.35">
      <c r="A16" s="1" t="s">
        <v>126</v>
      </c>
      <c r="B16" s="23">
        <f>D16-D15+C16</f>
        <v>246763</v>
      </c>
      <c r="C16" s="23">
        <v>40000</v>
      </c>
      <c r="D16" s="19">
        <f>600000+10000+36000+2000000+142434</f>
        <v>2788434</v>
      </c>
      <c r="E16" s="5"/>
    </row>
    <row r="17" spans="1:5" x14ac:dyDescent="0.35">
      <c r="A17" s="1" t="s">
        <v>127</v>
      </c>
      <c r="B17" s="23">
        <f>D17-D16+C17</f>
        <v>59172</v>
      </c>
      <c r="C17" s="23">
        <f>45000+39000</f>
        <v>84000</v>
      </c>
      <c r="D17" s="19">
        <f>660000+42000+2000000+61606</f>
        <v>2763606</v>
      </c>
      <c r="E17" s="5"/>
    </row>
    <row r="18" spans="1:5" x14ac:dyDescent="0.35">
      <c r="A18" s="1" t="s">
        <v>128</v>
      </c>
      <c r="B18" s="23">
        <v>76051</v>
      </c>
      <c r="C18" s="23">
        <f>15000+30000</f>
        <v>45000</v>
      </c>
      <c r="D18" s="19">
        <f>D17+B18-C18</f>
        <v>2794657</v>
      </c>
      <c r="E18" s="5"/>
    </row>
    <row r="19" spans="1:5" x14ac:dyDescent="0.35">
      <c r="A19" s="1" t="s">
        <v>129</v>
      </c>
      <c r="B19" s="23">
        <v>0</v>
      </c>
      <c r="C19" s="23">
        <v>40000</v>
      </c>
      <c r="D19" s="19">
        <f>2700000+46000+8657</f>
        <v>2754657</v>
      </c>
      <c r="E19" s="5"/>
    </row>
    <row r="20" spans="1:5" x14ac:dyDescent="0.35">
      <c r="A20" s="1" t="s">
        <v>130</v>
      </c>
      <c r="B20" s="23">
        <v>0</v>
      </c>
      <c r="C20" s="23">
        <v>40000</v>
      </c>
      <c r="D20" s="19">
        <f>D19-C20</f>
        <v>2714657</v>
      </c>
      <c r="E20" s="5"/>
    </row>
    <row r="21" spans="1:5" x14ac:dyDescent="0.35">
      <c r="A21" s="1" t="s">
        <v>131</v>
      </c>
      <c r="B21" s="23">
        <v>0</v>
      </c>
      <c r="C21" s="23">
        <f>5000+3000+63000+486000</f>
        <v>557000</v>
      </c>
      <c r="D21" s="19">
        <f>D20-C21</f>
        <v>2157657</v>
      </c>
      <c r="E21" s="5" t="s">
        <v>504</v>
      </c>
    </row>
    <row r="22" spans="1:5" x14ac:dyDescent="0.35">
      <c r="A22" s="1" t="s">
        <v>132</v>
      </c>
      <c r="B22" s="23">
        <v>41661</v>
      </c>
      <c r="C22" s="23">
        <f>D21-D22+B22</f>
        <v>329000</v>
      </c>
      <c r="D22" s="19">
        <f>50318+280000+40000+1500000</f>
        <v>1870318</v>
      </c>
      <c r="E22" s="5" t="s">
        <v>505</v>
      </c>
    </row>
    <row r="23" spans="1:5" x14ac:dyDescent="0.35">
      <c r="A23" s="1" t="s">
        <v>133</v>
      </c>
      <c r="B23" s="23">
        <f>D23-D22+C23</f>
        <v>100746</v>
      </c>
      <c r="C23" s="23">
        <v>40000</v>
      </c>
      <c r="D23" s="19">
        <f>300000+90000+37000+1500000+4064</f>
        <v>1931064</v>
      </c>
      <c r="E23" s="5"/>
    </row>
    <row r="24" spans="1:5" x14ac:dyDescent="0.35">
      <c r="A24" s="1" t="s">
        <v>134</v>
      </c>
      <c r="B24" s="23">
        <v>0</v>
      </c>
      <c r="C24" s="23">
        <v>0</v>
      </c>
      <c r="D24" s="19">
        <f>D23-C24</f>
        <v>1931064</v>
      </c>
      <c r="E24" s="5"/>
    </row>
    <row r="25" spans="1:5" x14ac:dyDescent="0.35">
      <c r="A25" s="1" t="s">
        <v>135</v>
      </c>
      <c r="B25" s="23">
        <f t="shared" ref="B25:B30" si="0">D25-D24+C25</f>
        <v>140960</v>
      </c>
      <c r="C25" s="23">
        <v>45000</v>
      </c>
      <c r="D25" s="19">
        <f>250000+120000+60000+5000+28000+1500000+59024+5000</f>
        <v>2027024</v>
      </c>
      <c r="E25" s="5"/>
    </row>
    <row r="26" spans="1:5" x14ac:dyDescent="0.35">
      <c r="A26" s="1" t="s">
        <v>136</v>
      </c>
      <c r="B26" s="23">
        <f t="shared" si="0"/>
        <v>407375</v>
      </c>
      <c r="C26" s="23">
        <v>40000</v>
      </c>
      <c r="D26" s="19">
        <f>1800000+140000+24000+390399+40000</f>
        <v>2394399</v>
      </c>
      <c r="E26" s="5"/>
    </row>
    <row r="27" spans="1:5" x14ac:dyDescent="0.35">
      <c r="A27" s="1" t="s">
        <v>138</v>
      </c>
      <c r="B27" s="23">
        <f t="shared" si="0"/>
        <v>205776</v>
      </c>
      <c r="C27" s="23">
        <v>40000</v>
      </c>
      <c r="D27" s="19">
        <f>1100000+240000+5000+20000+195175+1000000</f>
        <v>2560175</v>
      </c>
      <c r="E27" s="5"/>
    </row>
    <row r="28" spans="1:5" x14ac:dyDescent="0.35">
      <c r="A28" s="1" t="s">
        <v>137</v>
      </c>
      <c r="B28" s="23">
        <f t="shared" si="0"/>
        <v>472647</v>
      </c>
      <c r="C28" s="23">
        <f>43000+50000</f>
        <v>93000</v>
      </c>
      <c r="D28" s="19">
        <f>2600000+110000+27000+202822</f>
        <v>2939822</v>
      </c>
      <c r="E28" s="5" t="s">
        <v>506</v>
      </c>
    </row>
    <row r="29" spans="1:5" x14ac:dyDescent="0.35">
      <c r="A29" s="1" t="s">
        <v>139</v>
      </c>
      <c r="B29" s="23">
        <f t="shared" si="0"/>
        <v>313545</v>
      </c>
      <c r="C29" s="23">
        <v>35000</v>
      </c>
      <c r="D29" s="19">
        <f>3000000+140000+23000+55367</f>
        <v>3218367</v>
      </c>
      <c r="E29" s="5"/>
    </row>
    <row r="30" spans="1:5" x14ac:dyDescent="0.35">
      <c r="A30" s="1" t="s">
        <v>140</v>
      </c>
      <c r="B30" s="23">
        <f t="shared" si="0"/>
        <v>637865</v>
      </c>
      <c r="C30" s="23">
        <v>48000</v>
      </c>
      <c r="D30" s="19">
        <f>3000000+550000+80000+26000+152232</f>
        <v>3808232</v>
      </c>
      <c r="E30" s="5" t="s">
        <v>507</v>
      </c>
    </row>
    <row r="31" spans="1:5" x14ac:dyDescent="0.35">
      <c r="A31" s="1" t="s">
        <v>141</v>
      </c>
      <c r="B31" s="23">
        <f>D31-D30+C31</f>
        <v>131103</v>
      </c>
      <c r="C31" s="23">
        <v>43000</v>
      </c>
      <c r="D31" s="19">
        <f>3700000+80000+28000+88335</f>
        <v>3896335</v>
      </c>
      <c r="E31" s="5"/>
    </row>
    <row r="32" spans="1:5" x14ac:dyDescent="0.35">
      <c r="A32" s="1" t="s">
        <v>142</v>
      </c>
      <c r="B32" s="23">
        <f>D32-D31+C32</f>
        <v>1478778</v>
      </c>
      <c r="C32" s="23">
        <f>17000+4000+12000</f>
        <v>33000</v>
      </c>
      <c r="D32" s="19">
        <f>4000000+900000+250000+50000+48000+94113</f>
        <v>5342113</v>
      </c>
      <c r="E32" s="5" t="s">
        <v>111</v>
      </c>
    </row>
    <row r="33" spans="1:5" x14ac:dyDescent="0.35">
      <c r="A33" s="12" t="s">
        <v>143</v>
      </c>
      <c r="B33" s="21">
        <f>SUM(B2:B32)</f>
        <v>5129584</v>
      </c>
      <c r="C33" s="21">
        <f>SUM(C2:C32)</f>
        <v>2596000</v>
      </c>
      <c r="D33" s="20"/>
      <c r="E33" s="24"/>
    </row>
    <row r="34" spans="1:5" x14ac:dyDescent="0.35">
      <c r="A34" s="1" t="s">
        <v>144</v>
      </c>
      <c r="B34" s="23">
        <f>D34-D32+C34</f>
        <v>362416</v>
      </c>
      <c r="C34" s="23">
        <f>40000+20000</f>
        <v>60000</v>
      </c>
      <c r="D34" s="19">
        <f>5000000+600000+47000-2471</f>
        <v>5644529</v>
      </c>
      <c r="E34" s="5"/>
    </row>
    <row r="35" spans="1:5" x14ac:dyDescent="0.35">
      <c r="A35" s="1" t="s">
        <v>145</v>
      </c>
      <c r="B35" s="23">
        <f>D35-D34+C35</f>
        <v>476560</v>
      </c>
      <c r="C35" s="23">
        <v>40000</v>
      </c>
      <c r="D35" s="19">
        <f>5900000+130000+34000+17089</f>
        <v>6081089</v>
      </c>
      <c r="E35" s="5"/>
    </row>
    <row r="36" spans="1:5" x14ac:dyDescent="0.35">
      <c r="A36" s="1" t="s">
        <v>146</v>
      </c>
      <c r="B36" s="23">
        <f>D36-D35+C36</f>
        <v>275262</v>
      </c>
      <c r="C36" s="23">
        <v>60000</v>
      </c>
      <c r="D36" s="19">
        <f>6000000+55000+35000+206351</f>
        <v>6296351</v>
      </c>
      <c r="E36" s="5"/>
    </row>
    <row r="37" spans="1:5" x14ac:dyDescent="0.35">
      <c r="A37" s="1" t="s">
        <v>147</v>
      </c>
      <c r="B37" s="23">
        <f>D37-D36+C37</f>
        <v>329650</v>
      </c>
      <c r="C37" s="23">
        <v>35000</v>
      </c>
      <c r="D37" s="19">
        <f>6300000+70000+39000+187001+30000-35000</f>
        <v>6591001</v>
      </c>
      <c r="E37" s="5"/>
    </row>
    <row r="38" spans="1:5" x14ac:dyDescent="0.35">
      <c r="A38" s="1" t="s">
        <v>148</v>
      </c>
      <c r="B38" s="23">
        <f>D38-D37+C38</f>
        <v>331455</v>
      </c>
      <c r="C38" s="23">
        <f>40000+24000</f>
        <v>64000</v>
      </c>
      <c r="D38" s="19">
        <f>6600000+190000+39000-544+30000</f>
        <v>6858456</v>
      </c>
      <c r="E38" s="5"/>
    </row>
    <row r="39" spans="1:5" x14ac:dyDescent="0.35">
      <c r="A39" s="1" t="s">
        <v>149</v>
      </c>
      <c r="B39" s="23">
        <f>D39-(D38-C39)</f>
        <v>152800</v>
      </c>
      <c r="C39" s="23">
        <f>4000000+740000+40000+120000</f>
        <v>4900000</v>
      </c>
      <c r="D39" s="19">
        <f>1600000+67000+444256</f>
        <v>2111256</v>
      </c>
      <c r="E39" s="5" t="s">
        <v>508</v>
      </c>
    </row>
    <row r="40" spans="1:5" x14ac:dyDescent="0.35">
      <c r="A40" s="1" t="s">
        <v>150</v>
      </c>
      <c r="B40" s="23">
        <v>0</v>
      </c>
      <c r="C40" s="23">
        <v>40000</v>
      </c>
      <c r="D40" s="19">
        <f>D39-C40</f>
        <v>2071256</v>
      </c>
      <c r="E40" s="5"/>
    </row>
    <row r="41" spans="1:5" x14ac:dyDescent="0.35">
      <c r="A41" s="22" t="s">
        <v>151</v>
      </c>
      <c r="B41" s="23">
        <v>0</v>
      </c>
      <c r="C41" s="23">
        <v>0</v>
      </c>
      <c r="D41" s="19">
        <f>D40</f>
        <v>2071256</v>
      </c>
      <c r="E41" s="5"/>
    </row>
    <row r="42" spans="1:5" x14ac:dyDescent="0.35">
      <c r="A42" s="22" t="s">
        <v>152</v>
      </c>
      <c r="B42" s="23">
        <v>0</v>
      </c>
      <c r="C42" s="23">
        <v>0</v>
      </c>
      <c r="D42" s="19">
        <f>D41</f>
        <v>2071256</v>
      </c>
      <c r="E42" s="5"/>
    </row>
    <row r="43" spans="1:5" x14ac:dyDescent="0.35">
      <c r="A43" s="22" t="s">
        <v>153</v>
      </c>
      <c r="B43" s="23">
        <v>0</v>
      </c>
      <c r="C43" s="23">
        <f>80000+52000</f>
        <v>132000</v>
      </c>
      <c r="D43" s="19">
        <f>D42-C43</f>
        <v>1939256</v>
      </c>
      <c r="E43" s="5" t="s">
        <v>512</v>
      </c>
    </row>
    <row r="44" spans="1:5" x14ac:dyDescent="0.35">
      <c r="A44" s="22" t="s">
        <v>154</v>
      </c>
      <c r="B44" s="23">
        <v>0</v>
      </c>
      <c r="C44" s="23">
        <v>0</v>
      </c>
      <c r="D44" s="19">
        <f>D43</f>
        <v>1939256</v>
      </c>
      <c r="E44" s="5"/>
    </row>
    <row r="45" spans="1:5" x14ac:dyDescent="0.35">
      <c r="A45" s="22" t="s">
        <v>155</v>
      </c>
      <c r="B45" s="23">
        <v>0</v>
      </c>
      <c r="C45" s="23">
        <v>0</v>
      </c>
      <c r="D45" s="19">
        <f>D44</f>
        <v>1939256</v>
      </c>
      <c r="E45" s="5"/>
    </row>
    <row r="46" spans="1:5" x14ac:dyDescent="0.35">
      <c r="A46" s="22" t="s">
        <v>156</v>
      </c>
      <c r="B46" s="23">
        <v>0</v>
      </c>
      <c r="C46" s="23">
        <v>87000</v>
      </c>
      <c r="D46" s="19">
        <f>D45-C46</f>
        <v>1852256</v>
      </c>
      <c r="E46" s="5" t="s">
        <v>524</v>
      </c>
    </row>
    <row r="47" spans="1:5" x14ac:dyDescent="0.35">
      <c r="A47" s="22" t="s">
        <v>157</v>
      </c>
      <c r="B47" s="23">
        <v>0</v>
      </c>
      <c r="C47" s="23">
        <v>1000000</v>
      </c>
      <c r="D47" s="19">
        <f>D46-C47</f>
        <v>852256</v>
      </c>
      <c r="E47" s="5" t="s">
        <v>525</v>
      </c>
    </row>
    <row r="48" spans="1:5" x14ac:dyDescent="0.35">
      <c r="A48" s="22" t="s">
        <v>158</v>
      </c>
      <c r="B48" s="23">
        <v>0</v>
      </c>
      <c r="C48" s="23">
        <v>132000</v>
      </c>
      <c r="D48" s="19">
        <f>D47-C48</f>
        <v>720256</v>
      </c>
      <c r="E48" s="5"/>
    </row>
    <row r="49" spans="1:5" x14ac:dyDescent="0.35">
      <c r="A49" s="22" t="s">
        <v>159</v>
      </c>
      <c r="B49" s="23">
        <f>D49-D48+C49</f>
        <v>113175</v>
      </c>
      <c r="C49" s="23">
        <f>70000+20000</f>
        <v>90000</v>
      </c>
      <c r="D49" s="19">
        <f>500000+135000+51000+27431+30000</f>
        <v>743431</v>
      </c>
      <c r="E49" s="5" t="s">
        <v>531</v>
      </c>
    </row>
    <row r="50" spans="1:5" x14ac:dyDescent="0.35">
      <c r="A50" s="22" t="s">
        <v>160</v>
      </c>
      <c r="B50" s="23">
        <f>D50-D49+C50</f>
        <v>217695</v>
      </c>
      <c r="C50" s="23">
        <v>46000</v>
      </c>
      <c r="D50" s="19">
        <f>500000+50000+270000+20000+33000+16126+26000</f>
        <v>915126</v>
      </c>
      <c r="E50" s="5"/>
    </row>
    <row r="51" spans="1:5" x14ac:dyDescent="0.35">
      <c r="A51" s="22" t="s">
        <v>161</v>
      </c>
      <c r="B51" s="23">
        <f>D51-D50+C51</f>
        <v>36700</v>
      </c>
      <c r="C51" s="23">
        <v>50000</v>
      </c>
      <c r="D51" s="19">
        <f>550000+280000+53000+18826</f>
        <v>901826</v>
      </c>
      <c r="E51" s="5"/>
    </row>
    <row r="52" spans="1:5" x14ac:dyDescent="0.35">
      <c r="A52" s="22" t="s">
        <v>162</v>
      </c>
      <c r="B52" s="23">
        <f>D52-D51+C52</f>
        <v>139831</v>
      </c>
      <c r="C52" s="23">
        <f>170000+60000</f>
        <v>230000</v>
      </c>
      <c r="D52" s="19">
        <f>500000+150000+90000+55000+12657+4000</f>
        <v>811657</v>
      </c>
      <c r="E52" s="5" t="s">
        <v>533</v>
      </c>
    </row>
    <row r="53" spans="1:5" x14ac:dyDescent="0.35">
      <c r="A53" s="22" t="s">
        <v>163</v>
      </c>
      <c r="B53" s="23">
        <f>D53-D52+C53</f>
        <v>269977</v>
      </c>
      <c r="C53" s="23">
        <v>40000</v>
      </c>
      <c r="D53" s="19">
        <f>550000+160000+47000+88634+26000+170000</f>
        <v>1041634</v>
      </c>
      <c r="E53" s="5"/>
    </row>
    <row r="54" spans="1:5" x14ac:dyDescent="0.35">
      <c r="A54" s="22" t="s">
        <v>164</v>
      </c>
      <c r="B54" s="23">
        <v>56500</v>
      </c>
      <c r="C54" s="23">
        <f>B54-D54+D53</f>
        <v>237000</v>
      </c>
      <c r="D54" s="19">
        <f>600000+5000+51000+205134</f>
        <v>861134</v>
      </c>
      <c r="E54" s="5" t="s">
        <v>534</v>
      </c>
    </row>
    <row r="55" spans="1:5" x14ac:dyDescent="0.35">
      <c r="A55" s="22" t="s">
        <v>165</v>
      </c>
      <c r="B55" s="23">
        <f t="shared" ref="B55:B60" si="1">D55-D54+C55</f>
        <v>226995</v>
      </c>
      <c r="C55" s="23">
        <v>100000</v>
      </c>
      <c r="D55" s="19">
        <f>550000+180000+40000+36000+156129+26000</f>
        <v>988129</v>
      </c>
      <c r="E55" s="5" t="s">
        <v>535</v>
      </c>
    </row>
    <row r="56" spans="1:5" x14ac:dyDescent="0.35">
      <c r="A56" s="22" t="s">
        <v>166</v>
      </c>
      <c r="B56" s="23">
        <f t="shared" si="1"/>
        <v>52128</v>
      </c>
      <c r="C56" s="23">
        <v>321000</v>
      </c>
      <c r="D56" s="19">
        <f>450000+130000+75000+64257</f>
        <v>719257</v>
      </c>
      <c r="E56" s="27" t="s">
        <v>536</v>
      </c>
    </row>
    <row r="57" spans="1:5" x14ac:dyDescent="0.35">
      <c r="A57" s="22" t="s">
        <v>167</v>
      </c>
      <c r="B57" s="23">
        <f t="shared" si="1"/>
        <v>55050</v>
      </c>
      <c r="C57" s="23">
        <v>9000</v>
      </c>
      <c r="D57" s="19">
        <f>550000+95000+50000+21000+49307</f>
        <v>765307</v>
      </c>
      <c r="E57" s="5"/>
    </row>
    <row r="58" spans="1:5" x14ac:dyDescent="0.35">
      <c r="A58" s="22" t="s">
        <v>168</v>
      </c>
      <c r="B58" s="23">
        <f t="shared" si="1"/>
        <v>69156</v>
      </c>
      <c r="C58" s="23">
        <v>0</v>
      </c>
      <c r="D58" s="19">
        <f>650000+80000+69000+35463</f>
        <v>834463</v>
      </c>
      <c r="E58" s="5"/>
    </row>
    <row r="59" spans="1:5" x14ac:dyDescent="0.35">
      <c r="A59" s="22" t="s">
        <v>169</v>
      </c>
      <c r="B59" s="23">
        <f t="shared" si="1"/>
        <v>232547</v>
      </c>
      <c r="C59" s="23">
        <v>40000</v>
      </c>
      <c r="D59" s="19">
        <f>960000+23000+18010+26000</f>
        <v>1027010</v>
      </c>
      <c r="E59" s="5"/>
    </row>
    <row r="60" spans="1:5" x14ac:dyDescent="0.35">
      <c r="A60" s="22" t="s">
        <v>170</v>
      </c>
      <c r="B60" s="23">
        <f t="shared" si="1"/>
        <v>197601</v>
      </c>
      <c r="C60" s="23">
        <v>100000</v>
      </c>
      <c r="D60" s="19">
        <f>950000+70000+53000+25611+26000</f>
        <v>1124611</v>
      </c>
      <c r="E60" s="5" t="s">
        <v>537</v>
      </c>
    </row>
    <row r="61" spans="1:5" x14ac:dyDescent="0.35">
      <c r="A61" s="22" t="s">
        <v>171</v>
      </c>
      <c r="B61" s="23">
        <f>D61-D60+C61</f>
        <v>87100</v>
      </c>
      <c r="C61" s="23">
        <f>45000+85000+50000+71000</f>
        <v>251000</v>
      </c>
      <c r="D61" s="19">
        <f>900000+51000+9711</f>
        <v>960711</v>
      </c>
      <c r="E61" s="5" t="s">
        <v>538</v>
      </c>
    </row>
    <row r="62" spans="1:5" x14ac:dyDescent="0.35">
      <c r="A62" s="12" t="s">
        <v>172</v>
      </c>
      <c r="B62" s="21">
        <f>SUM(B34:B61)</f>
        <v>3682598</v>
      </c>
      <c r="C62" s="21">
        <f>SUM(C34:C61)</f>
        <v>8064000</v>
      </c>
      <c r="D62" s="20"/>
      <c r="E62" s="24"/>
    </row>
    <row r="63" spans="1:5" x14ac:dyDescent="0.35">
      <c r="A63" s="1" t="s">
        <v>187</v>
      </c>
      <c r="B63" s="23">
        <v>1970000</v>
      </c>
      <c r="C63" s="23">
        <v>50000</v>
      </c>
      <c r="D63" s="19">
        <f>D61+B63-C63</f>
        <v>2880711</v>
      </c>
      <c r="E63" s="5" t="s">
        <v>539</v>
      </c>
    </row>
    <row r="64" spans="1:5" x14ac:dyDescent="0.35">
      <c r="A64" s="1" t="s">
        <v>188</v>
      </c>
      <c r="B64" s="23">
        <v>0</v>
      </c>
      <c r="C64" s="23">
        <v>0</v>
      </c>
      <c r="D64" s="19">
        <f>D63-C64+B64</f>
        <v>2880711</v>
      </c>
      <c r="E64" s="5"/>
    </row>
    <row r="65" spans="1:5" x14ac:dyDescent="0.35">
      <c r="A65" s="1" t="s">
        <v>189</v>
      </c>
      <c r="B65" s="23">
        <v>27000</v>
      </c>
      <c r="C65" s="23">
        <v>27000</v>
      </c>
      <c r="D65" s="19">
        <f>D64-C65+B65</f>
        <v>2880711</v>
      </c>
      <c r="E65" s="5"/>
    </row>
    <row r="66" spans="1:5" x14ac:dyDescent="0.35">
      <c r="A66" s="1" t="s">
        <v>190</v>
      </c>
      <c r="B66" s="23">
        <v>0</v>
      </c>
      <c r="C66" s="23">
        <v>20000</v>
      </c>
      <c r="D66" s="19">
        <f>D65-C66</f>
        <v>2860711</v>
      </c>
      <c r="E66" s="5"/>
    </row>
    <row r="67" spans="1:5" x14ac:dyDescent="0.35">
      <c r="A67" s="1" t="s">
        <v>191</v>
      </c>
      <c r="B67" s="23">
        <f>D67-D66+C67</f>
        <v>106322</v>
      </c>
      <c r="C67" s="23">
        <f>115000+15000</f>
        <v>130000</v>
      </c>
      <c r="D67" s="19">
        <f>750000+48000+69033+1970000</f>
        <v>2837033</v>
      </c>
      <c r="E67" s="5" t="s">
        <v>540</v>
      </c>
    </row>
    <row r="68" spans="1:5" x14ac:dyDescent="0.35">
      <c r="A68" s="1" t="s">
        <v>192</v>
      </c>
      <c r="B68" s="23">
        <f>D68-D67+C68</f>
        <v>40763</v>
      </c>
      <c r="C68" s="23">
        <f>12000+20000</f>
        <v>32000</v>
      </c>
      <c r="D68" s="19">
        <f>680000+53000+142796+1970000</f>
        <v>2845796</v>
      </c>
      <c r="E68" s="5"/>
    </row>
    <row r="69" spans="1:5" x14ac:dyDescent="0.35">
      <c r="A69" s="1" t="s">
        <v>193</v>
      </c>
      <c r="B69" s="23">
        <f>D69-D68+C69</f>
        <v>289120</v>
      </c>
      <c r="C69" s="23">
        <f>40000+15000+40000</f>
        <v>95000</v>
      </c>
      <c r="D69" s="19">
        <f>930000+109916+30000+1970000</f>
        <v>3039916</v>
      </c>
      <c r="E69" s="5" t="s">
        <v>541</v>
      </c>
    </row>
    <row r="70" spans="1:5" x14ac:dyDescent="0.35">
      <c r="A70" s="1" t="s">
        <v>194</v>
      </c>
      <c r="B70" s="23">
        <v>0</v>
      </c>
      <c r="C70" s="23">
        <f>D69-D70</f>
        <v>932000</v>
      </c>
      <c r="D70" s="19">
        <f>950000+18000+1000000+139916</f>
        <v>2107916</v>
      </c>
      <c r="E70" s="5" t="s">
        <v>542</v>
      </c>
    </row>
    <row r="71" spans="1:5" x14ac:dyDescent="0.35">
      <c r="A71" s="1" t="s">
        <v>195</v>
      </c>
      <c r="B71" s="23">
        <v>0</v>
      </c>
      <c r="C71" s="23">
        <v>0</v>
      </c>
      <c r="D71" s="19">
        <f>D70-C71</f>
        <v>2107916</v>
      </c>
      <c r="E71" s="5"/>
    </row>
    <row r="72" spans="1:5" x14ac:dyDescent="0.35">
      <c r="A72" s="1" t="s">
        <v>543</v>
      </c>
      <c r="B72" s="23">
        <f>D72-D71+C72</f>
        <v>260961</v>
      </c>
      <c r="C72" s="23">
        <v>80000</v>
      </c>
      <c r="D72" s="19">
        <f>1200000+22000+1000000+66877</f>
        <v>2288877</v>
      </c>
      <c r="E72" s="5" t="s">
        <v>512</v>
      </c>
    </row>
    <row r="73" spans="1:5" x14ac:dyDescent="0.35">
      <c r="A73" s="1" t="s">
        <v>196</v>
      </c>
      <c r="B73" s="28">
        <v>0</v>
      </c>
      <c r="C73" s="23">
        <v>5000</v>
      </c>
      <c r="D73" s="19">
        <f>D72-C73</f>
        <v>2283877</v>
      </c>
      <c r="E73" s="5"/>
    </row>
    <row r="74" spans="1:5" x14ac:dyDescent="0.35">
      <c r="A74" s="1" t="s">
        <v>197</v>
      </c>
      <c r="B74" s="23">
        <f>D74-D73+C74</f>
        <v>231520</v>
      </c>
      <c r="C74" s="23">
        <f>20000+33000</f>
        <v>53000</v>
      </c>
      <c r="D74" s="19">
        <f>1300000+19000+26000+67397+1000000+50000</f>
        <v>2462397</v>
      </c>
      <c r="E74" s="27"/>
    </row>
    <row r="75" spans="1:5" x14ac:dyDescent="0.35">
      <c r="A75" s="1" t="s">
        <v>198</v>
      </c>
      <c r="B75" s="23">
        <f>D75-D74</f>
        <v>56000</v>
      </c>
      <c r="C75" s="23">
        <v>0</v>
      </c>
      <c r="D75" s="19">
        <f>770000+15000+233397+1500000</f>
        <v>2518397</v>
      </c>
      <c r="E75" s="5"/>
    </row>
    <row r="76" spans="1:5" x14ac:dyDescent="0.35">
      <c r="A76" s="1" t="s">
        <v>199</v>
      </c>
      <c r="B76" s="23">
        <f>D76-D75+C76</f>
        <v>110462</v>
      </c>
      <c r="C76" s="23">
        <f>30000-15000+15000+4000</f>
        <v>34000</v>
      </c>
      <c r="D76" s="19">
        <f>1500000+630000+12000+452859</f>
        <v>2594859</v>
      </c>
      <c r="E76" s="5"/>
    </row>
    <row r="77" spans="1:5" x14ac:dyDescent="0.35">
      <c r="A77" s="1" t="s">
        <v>200</v>
      </c>
      <c r="B77" s="23">
        <v>0</v>
      </c>
      <c r="C77" s="23">
        <f>45000+20000</f>
        <v>65000</v>
      </c>
      <c r="D77" s="19">
        <f>D76-C77</f>
        <v>2529859</v>
      </c>
      <c r="E77" s="5"/>
    </row>
    <row r="78" spans="1:5" x14ac:dyDescent="0.35">
      <c r="A78" s="1" t="s">
        <v>201</v>
      </c>
      <c r="B78" s="23">
        <v>0</v>
      </c>
      <c r="C78" s="23">
        <v>0</v>
      </c>
      <c r="D78" s="19">
        <f>D77</f>
        <v>2529859</v>
      </c>
      <c r="E78" s="5"/>
    </row>
    <row r="79" spans="1:5" x14ac:dyDescent="0.35">
      <c r="A79" s="1" t="s">
        <v>202</v>
      </c>
      <c r="B79" s="23">
        <v>27000</v>
      </c>
      <c r="C79" s="23">
        <f>35000+40000-30000</f>
        <v>45000</v>
      </c>
      <c r="D79" s="19">
        <f>D78+B79-C79</f>
        <v>2511859</v>
      </c>
      <c r="E79" s="5"/>
    </row>
    <row r="80" spans="1:5" x14ac:dyDescent="0.35">
      <c r="A80" s="1" t="s">
        <v>203</v>
      </c>
      <c r="B80" s="23">
        <v>0</v>
      </c>
      <c r="C80" s="23">
        <v>30000</v>
      </c>
      <c r="D80" s="19">
        <f>D79-C80</f>
        <v>2481859</v>
      </c>
      <c r="E80" s="5"/>
    </row>
    <row r="81" spans="1:5" x14ac:dyDescent="0.35">
      <c r="A81" s="1" t="s">
        <v>204</v>
      </c>
      <c r="B81" s="23">
        <f>D81-D80+C81</f>
        <v>169900</v>
      </c>
      <c r="C81" s="23">
        <f>335000+120000</f>
        <v>455000</v>
      </c>
      <c r="D81" s="19">
        <f>9759+2000000+187000</f>
        <v>2196759</v>
      </c>
      <c r="E81" s="5" t="s">
        <v>544</v>
      </c>
    </row>
    <row r="82" spans="1:5" x14ac:dyDescent="0.35">
      <c r="A82" s="1" t="s">
        <v>205</v>
      </c>
      <c r="B82" s="23">
        <f>D82-D81+C82</f>
        <v>46500</v>
      </c>
      <c r="C82" s="23">
        <v>350000</v>
      </c>
      <c r="D82" s="19">
        <f>1500000+150000+200000+20000+23259</f>
        <v>1893259</v>
      </c>
      <c r="E82" s="5" t="s">
        <v>545</v>
      </c>
    </row>
    <row r="83" spans="1:5" x14ac:dyDescent="0.35">
      <c r="A83" s="1" t="s">
        <v>206</v>
      </c>
      <c r="B83" s="23">
        <f>D83-D82+C83</f>
        <v>1008267</v>
      </c>
      <c r="C83" s="23">
        <v>5000</v>
      </c>
      <c r="D83" s="19">
        <f>218526+2000000+350000+220000+23000+85000</f>
        <v>2896526</v>
      </c>
      <c r="E83" s="5" t="s">
        <v>546</v>
      </c>
    </row>
    <row r="84" spans="1:5" x14ac:dyDescent="0.35">
      <c r="A84" s="1" t="s">
        <v>207</v>
      </c>
      <c r="B84" s="23">
        <v>0</v>
      </c>
      <c r="C84" s="23">
        <f>D83-D84</f>
        <v>20000</v>
      </c>
      <c r="D84" s="19">
        <f>2000000+650000+8000+218526</f>
        <v>2876526</v>
      </c>
      <c r="E84" s="5"/>
    </row>
    <row r="85" spans="1:5" x14ac:dyDescent="0.35">
      <c r="A85" s="1" t="s">
        <v>208</v>
      </c>
      <c r="B85" s="23">
        <v>0</v>
      </c>
      <c r="C85" s="23">
        <v>0</v>
      </c>
      <c r="D85" s="19">
        <f>D84-C85</f>
        <v>2876526</v>
      </c>
      <c r="E85" s="5"/>
    </row>
    <row r="86" spans="1:5" x14ac:dyDescent="0.35">
      <c r="A86" s="1" t="s">
        <v>209</v>
      </c>
      <c r="B86" s="23">
        <v>0</v>
      </c>
      <c r="C86" s="23">
        <v>0</v>
      </c>
      <c r="D86" s="19">
        <f>D85-C86</f>
        <v>2876526</v>
      </c>
      <c r="E86" s="5"/>
    </row>
    <row r="87" spans="1:5" x14ac:dyDescent="0.35">
      <c r="A87" s="1" t="s">
        <v>210</v>
      </c>
      <c r="B87" s="23">
        <v>0</v>
      </c>
      <c r="C87" s="23">
        <f>10000+20000+12000</f>
        <v>42000</v>
      </c>
      <c r="D87" s="19">
        <f>D86-C87</f>
        <v>2834526</v>
      </c>
      <c r="E87" s="5"/>
    </row>
    <row r="88" spans="1:5" x14ac:dyDescent="0.35">
      <c r="A88" s="1" t="s">
        <v>211</v>
      </c>
      <c r="B88" s="23">
        <v>0</v>
      </c>
      <c r="C88" s="23">
        <f>40000+67000+24000+10000</f>
        <v>141000</v>
      </c>
      <c r="D88" s="19">
        <f>D87-C88</f>
        <v>2693526</v>
      </c>
      <c r="E88" s="5" t="s">
        <v>547</v>
      </c>
    </row>
    <row r="89" spans="1:5" x14ac:dyDescent="0.35">
      <c r="A89" s="1" t="s">
        <v>212</v>
      </c>
      <c r="B89" s="23">
        <f>D89-D88</f>
        <v>157884</v>
      </c>
      <c r="C89" s="23">
        <v>0</v>
      </c>
      <c r="D89" s="19">
        <f>2000000+744000+107410</f>
        <v>2851410</v>
      </c>
      <c r="E89" s="5"/>
    </row>
    <row r="90" spans="1:5" x14ac:dyDescent="0.35">
      <c r="A90" s="1" t="s">
        <v>213</v>
      </c>
      <c r="B90" s="23">
        <f>D90-D89+C90</f>
        <v>99831</v>
      </c>
      <c r="C90" s="23">
        <f>20000+24000+4000</f>
        <v>48000</v>
      </c>
      <c r="D90" s="19">
        <f>2000000+450000+20000+433241</f>
        <v>2903241</v>
      </c>
      <c r="E90" s="5"/>
    </row>
    <row r="91" spans="1:5" x14ac:dyDescent="0.35">
      <c r="A91" s="1" t="s">
        <v>214</v>
      </c>
      <c r="B91" s="23">
        <v>14000</v>
      </c>
      <c r="C91" s="23">
        <f>D90-D91+B91</f>
        <v>4000</v>
      </c>
      <c r="D91" s="19">
        <f>420000+8000+2000000+385241+100000</f>
        <v>2913241</v>
      </c>
      <c r="E91" s="5"/>
    </row>
    <row r="92" spans="1:5" x14ac:dyDescent="0.35">
      <c r="A92" s="1" t="s">
        <v>215</v>
      </c>
      <c r="B92" s="23">
        <v>0</v>
      </c>
      <c r="C92" s="23">
        <v>0</v>
      </c>
      <c r="D92" s="19">
        <f>D91-C92</f>
        <v>2913241</v>
      </c>
      <c r="E92" s="5"/>
    </row>
    <row r="93" spans="1:5" x14ac:dyDescent="0.35">
      <c r="A93" s="1" t="s">
        <v>216</v>
      </c>
      <c r="B93" s="23">
        <f>D93-D92+C93</f>
        <v>29000</v>
      </c>
      <c r="C93" s="23">
        <v>0</v>
      </c>
      <c r="D93" s="19">
        <f>750000+2000000+12000+180241</f>
        <v>2942241</v>
      </c>
      <c r="E93" s="5"/>
    </row>
    <row r="94" spans="1:5" s="26" customFormat="1" x14ac:dyDescent="0.35">
      <c r="A94" s="12" t="s">
        <v>217</v>
      </c>
      <c r="B94" s="21">
        <f>SUM(B63:B93)</f>
        <v>4644530</v>
      </c>
      <c r="C94" s="21">
        <f>SUM(C63:C93)</f>
        <v>2663000</v>
      </c>
      <c r="D94" s="20"/>
      <c r="E94" s="24"/>
    </row>
    <row r="95" spans="1:5" x14ac:dyDescent="0.35">
      <c r="A95" s="1" t="s">
        <v>218</v>
      </c>
      <c r="B95" s="28">
        <v>0</v>
      </c>
      <c r="C95" s="23">
        <f>D93-D95</f>
        <v>95000</v>
      </c>
      <c r="D95" s="19">
        <f>180241+2000000+650000+17000</f>
        <v>2847241</v>
      </c>
      <c r="E95" s="5" t="s">
        <v>548</v>
      </c>
    </row>
    <row r="96" spans="1:5" x14ac:dyDescent="0.35">
      <c r="A96" s="1" t="s">
        <v>219</v>
      </c>
      <c r="B96" s="23">
        <f>D96-D95+C96</f>
        <v>832000</v>
      </c>
      <c r="C96" s="23">
        <v>12000</v>
      </c>
      <c r="D96" s="19">
        <f>2500000+77241+1065000+25000</f>
        <v>3667241</v>
      </c>
      <c r="E96" s="5" t="s">
        <v>546</v>
      </c>
    </row>
    <row r="97" spans="1:5" x14ac:dyDescent="0.35">
      <c r="A97" s="1" t="s">
        <v>220</v>
      </c>
      <c r="B97" s="23">
        <f>D97-D96</f>
        <v>64062</v>
      </c>
      <c r="C97" s="23">
        <v>0</v>
      </c>
      <c r="D97" s="19">
        <f>2500000+1036000+195303</f>
        <v>3731303</v>
      </c>
      <c r="E97" s="5"/>
    </row>
    <row r="98" spans="1:5" x14ac:dyDescent="0.35">
      <c r="A98" s="1" t="s">
        <v>221</v>
      </c>
      <c r="B98" s="23">
        <f>D98-D97+C98</f>
        <v>118600</v>
      </c>
      <c r="C98" s="23">
        <f>350000+116000-45000+16000+195000</f>
        <v>632000</v>
      </c>
      <c r="D98" s="19">
        <f>3000000+180000+30000+7903</f>
        <v>3217903</v>
      </c>
      <c r="E98" s="5" t="s">
        <v>549</v>
      </c>
    </row>
    <row r="99" spans="1:5" x14ac:dyDescent="0.35">
      <c r="A99" s="1" t="s">
        <v>222</v>
      </c>
      <c r="B99" s="23">
        <v>0</v>
      </c>
      <c r="C99" s="23">
        <v>0</v>
      </c>
      <c r="D99" s="19">
        <f>D98-C99</f>
        <v>3217903</v>
      </c>
      <c r="E99" s="5"/>
    </row>
    <row r="100" spans="1:5" x14ac:dyDescent="0.35">
      <c r="A100" s="1" t="s">
        <v>223</v>
      </c>
      <c r="B100" s="23">
        <v>0</v>
      </c>
      <c r="C100" s="23">
        <v>0</v>
      </c>
      <c r="D100" s="19">
        <f>D99-C100</f>
        <v>3217903</v>
      </c>
      <c r="E100" s="5"/>
    </row>
    <row r="101" spans="1:5" x14ac:dyDescent="0.35">
      <c r="A101" s="1" t="s">
        <v>224</v>
      </c>
      <c r="B101" s="23">
        <f>D101-D100+C101</f>
        <v>27000</v>
      </c>
      <c r="C101" s="23">
        <v>95000</v>
      </c>
      <c r="D101" s="19">
        <f>2500000+590000+25000+34903</f>
        <v>3149903</v>
      </c>
      <c r="E101" s="5"/>
    </row>
    <row r="102" spans="1:5" x14ac:dyDescent="0.35">
      <c r="A102" s="1" t="s">
        <v>225</v>
      </c>
      <c r="B102" s="23">
        <f>D102-D101+C102</f>
        <v>100000</v>
      </c>
      <c r="C102" s="23">
        <f>28000+36000+60000</f>
        <v>124000</v>
      </c>
      <c r="D102" s="19">
        <f>2500000+570000+21000+34903</f>
        <v>3125903</v>
      </c>
      <c r="E102" s="5" t="s">
        <v>550</v>
      </c>
    </row>
    <row r="103" spans="1:5" x14ac:dyDescent="0.35">
      <c r="A103" s="1" t="s">
        <v>226</v>
      </c>
      <c r="B103" s="23">
        <f>D103-D102+C103</f>
        <v>160517</v>
      </c>
      <c r="C103" s="23">
        <v>80000</v>
      </c>
      <c r="D103" s="19">
        <f>3000000+130000+23000+53420</f>
        <v>3206420</v>
      </c>
      <c r="E103" s="5" t="s">
        <v>512</v>
      </c>
    </row>
    <row r="104" spans="1:5" x14ac:dyDescent="0.35">
      <c r="A104" s="1" t="s">
        <v>227</v>
      </c>
      <c r="B104" s="23">
        <f>D104-D103</f>
        <v>87971</v>
      </c>
      <c r="C104" s="23">
        <v>0</v>
      </c>
      <c r="D104" s="19">
        <f>670000+2500000+23000+101391</f>
        <v>3294391</v>
      </c>
      <c r="E104" s="5"/>
    </row>
    <row r="105" spans="1:5" x14ac:dyDescent="0.35">
      <c r="A105" s="1" t="s">
        <v>228</v>
      </c>
      <c r="B105" s="23">
        <f>D105-D104</f>
        <v>219621</v>
      </c>
      <c r="C105" s="23">
        <v>0</v>
      </c>
      <c r="D105" s="19">
        <f>3000000+400000+21000+93012</f>
        <v>3514012</v>
      </c>
      <c r="E105" s="5"/>
    </row>
    <row r="106" spans="1:5" x14ac:dyDescent="0.35">
      <c r="A106" s="1" t="s">
        <v>229</v>
      </c>
      <c r="B106" s="23">
        <v>0</v>
      </c>
      <c r="C106" s="23">
        <f>20000+70000</f>
        <v>90000</v>
      </c>
      <c r="D106" s="19">
        <f>D105-C106</f>
        <v>3424012</v>
      </c>
      <c r="E106" s="5" t="s">
        <v>551</v>
      </c>
    </row>
    <row r="107" spans="1:5" x14ac:dyDescent="0.35">
      <c r="A107" s="1" t="s">
        <v>230</v>
      </c>
      <c r="B107" s="23">
        <v>0</v>
      </c>
      <c r="C107" s="23">
        <v>0</v>
      </c>
      <c r="D107" s="19">
        <f>D106</f>
        <v>3424012</v>
      </c>
      <c r="E107" s="5"/>
    </row>
    <row r="108" spans="1:5" x14ac:dyDescent="0.35">
      <c r="A108" s="1" t="s">
        <v>231</v>
      </c>
      <c r="B108" s="23">
        <f>27000-300-1</f>
        <v>26699</v>
      </c>
      <c r="C108" s="23">
        <v>0</v>
      </c>
      <c r="D108" s="19">
        <f>D107+B108</f>
        <v>3450711</v>
      </c>
      <c r="E108" s="5"/>
    </row>
    <row r="109" spans="1:5" x14ac:dyDescent="0.35">
      <c r="A109" s="1" t="s">
        <v>232</v>
      </c>
      <c r="B109" s="23">
        <v>0</v>
      </c>
      <c r="C109" s="23">
        <f>20000+20000+72000</f>
        <v>112000</v>
      </c>
      <c r="D109" s="19">
        <f>D108-C109</f>
        <v>3338711</v>
      </c>
      <c r="E109" s="5" t="s">
        <v>552</v>
      </c>
    </row>
    <row r="110" spans="1:5" x14ac:dyDescent="0.35">
      <c r="A110" s="1" t="s">
        <v>233</v>
      </c>
      <c r="B110" s="23">
        <v>16500</v>
      </c>
      <c r="C110" s="23">
        <v>0</v>
      </c>
      <c r="D110" s="19">
        <f>D109+B110</f>
        <v>3355211</v>
      </c>
      <c r="E110" s="5"/>
    </row>
    <row r="111" spans="1:5" x14ac:dyDescent="0.35">
      <c r="A111" s="1" t="s">
        <v>234</v>
      </c>
      <c r="B111" s="23">
        <f>D111-D110+C111</f>
        <v>332352</v>
      </c>
      <c r="C111" s="23">
        <v>45000</v>
      </c>
      <c r="D111" s="19">
        <f>3000000+600000+27000+15563</f>
        <v>3642563</v>
      </c>
      <c r="E111" s="5"/>
    </row>
    <row r="112" spans="1:5" x14ac:dyDescent="0.35">
      <c r="A112" s="1" t="s">
        <v>235</v>
      </c>
      <c r="B112" s="23">
        <f>D112-D111+C112</f>
        <v>7000</v>
      </c>
      <c r="C112" s="23">
        <v>120000</v>
      </c>
      <c r="D112" s="19">
        <f>3000000+22563+200000+280000+27000</f>
        <v>3529563</v>
      </c>
      <c r="E112" s="5" t="s">
        <v>531</v>
      </c>
    </row>
    <row r="113" spans="1:5" x14ac:dyDescent="0.35">
      <c r="A113" s="1" t="s">
        <v>236</v>
      </c>
      <c r="B113" s="23">
        <v>0</v>
      </c>
      <c r="C113" s="23">
        <f>10000+20000+10000+80000+20000+65000</f>
        <v>205000</v>
      </c>
      <c r="D113" s="19">
        <f>D112-C113</f>
        <v>3324563</v>
      </c>
      <c r="E113" s="5" t="s">
        <v>555</v>
      </c>
    </row>
    <row r="114" spans="1:5" x14ac:dyDescent="0.35">
      <c r="A114" s="1" t="s">
        <v>237</v>
      </c>
      <c r="B114" s="23">
        <v>0</v>
      </c>
      <c r="C114" s="23">
        <v>0</v>
      </c>
      <c r="D114" s="19">
        <f>D113-C114</f>
        <v>3324563</v>
      </c>
      <c r="E114" s="5"/>
    </row>
    <row r="115" spans="1:5" x14ac:dyDescent="0.35">
      <c r="A115" s="1" t="s">
        <v>238</v>
      </c>
      <c r="B115" s="23">
        <v>0</v>
      </c>
      <c r="C115" s="23">
        <v>28000</v>
      </c>
      <c r="D115" s="19">
        <f>D114-C115</f>
        <v>3296563</v>
      </c>
      <c r="E115" s="5"/>
    </row>
    <row r="116" spans="1:5" x14ac:dyDescent="0.35">
      <c r="A116" s="1" t="s">
        <v>239</v>
      </c>
      <c r="B116" s="23">
        <v>0</v>
      </c>
      <c r="C116" s="23">
        <f>60000+10000+20000+3000</f>
        <v>93000</v>
      </c>
      <c r="D116" s="19">
        <f>D115-C116</f>
        <v>3203563</v>
      </c>
      <c r="E116" s="5" t="s">
        <v>550</v>
      </c>
    </row>
    <row r="117" spans="1:5" x14ac:dyDescent="0.35">
      <c r="A117" s="1" t="s">
        <v>240</v>
      </c>
      <c r="B117" s="23">
        <f>D117-D116+C117</f>
        <v>228947</v>
      </c>
      <c r="C117" s="23">
        <v>10000</v>
      </c>
      <c r="D117" s="19">
        <f>2500000+500000+215000+16000+86510+105000</f>
        <v>3422510</v>
      </c>
      <c r="E117" s="5"/>
    </row>
    <row r="118" spans="1:5" x14ac:dyDescent="0.35">
      <c r="A118" s="1" t="s">
        <v>241</v>
      </c>
      <c r="B118" s="23">
        <f>D118-D117</f>
        <v>164193</v>
      </c>
      <c r="C118" s="23">
        <v>0</v>
      </c>
      <c r="D118" s="19">
        <f>2500000+550000+200000+19000+212703+105000</f>
        <v>3586703</v>
      </c>
      <c r="E118" s="5"/>
    </row>
    <row r="119" spans="1:5" x14ac:dyDescent="0.35">
      <c r="A119" s="1" t="s">
        <v>242</v>
      </c>
      <c r="B119" s="23">
        <f>D119-D118+C119</f>
        <v>1048453</v>
      </c>
      <c r="C119" s="23">
        <f>142000+34000</f>
        <v>176000</v>
      </c>
      <c r="D119" s="19">
        <f>3500000+400000+140000+17000+297156+105000</f>
        <v>4459156</v>
      </c>
      <c r="E119" s="5" t="s">
        <v>553</v>
      </c>
    </row>
    <row r="120" spans="1:5" x14ac:dyDescent="0.35">
      <c r="A120" s="1" t="s">
        <v>243</v>
      </c>
      <c r="B120" s="23">
        <v>0</v>
      </c>
      <c r="C120" s="23">
        <f>230000+10000</f>
        <v>240000</v>
      </c>
      <c r="D120" s="19">
        <f>D119-C120</f>
        <v>4219156</v>
      </c>
      <c r="E120" s="5" t="s">
        <v>554</v>
      </c>
    </row>
    <row r="121" spans="1:5" x14ac:dyDescent="0.35">
      <c r="A121" s="1" t="s">
        <v>244</v>
      </c>
      <c r="B121" s="23">
        <f>D121-D120</f>
        <v>32101</v>
      </c>
      <c r="C121" s="23">
        <v>0</v>
      </c>
      <c r="D121" s="19">
        <f>3500000+500000+18000+128257+105000</f>
        <v>4251257</v>
      </c>
      <c r="E121" s="5"/>
    </row>
    <row r="122" spans="1:5" x14ac:dyDescent="0.35">
      <c r="A122" s="1" t="s">
        <v>245</v>
      </c>
      <c r="B122" s="23">
        <f>D122-D121+C122</f>
        <v>860960</v>
      </c>
      <c r="C122" s="23">
        <f>10000+15000+3000</f>
        <v>28000</v>
      </c>
      <c r="D122" s="19">
        <f>4000000+912000+67217+105000</f>
        <v>5084217</v>
      </c>
      <c r="E122" s="5" t="s">
        <v>546</v>
      </c>
    </row>
    <row r="123" spans="1:5" x14ac:dyDescent="0.35">
      <c r="A123" s="1" t="s">
        <v>246</v>
      </c>
      <c r="B123" s="23">
        <f>D123-D122+C123</f>
        <v>13800</v>
      </c>
      <c r="C123" s="23">
        <f>65000+23000</f>
        <v>88000</v>
      </c>
      <c r="D123" s="19">
        <f>4810000+14000+10017+105000+71000</f>
        <v>5010017</v>
      </c>
      <c r="E123" s="5" t="s">
        <v>548</v>
      </c>
    </row>
    <row r="124" spans="1:5" x14ac:dyDescent="0.35">
      <c r="A124" s="1" t="s">
        <v>247</v>
      </c>
      <c r="B124" s="23">
        <f>D124-D123</f>
        <v>205839</v>
      </c>
      <c r="C124" s="23">
        <v>0</v>
      </c>
      <c r="D124" s="19">
        <f>5000000+69000+34856+7000+105000</f>
        <v>5215856</v>
      </c>
      <c r="E124" s="5"/>
    </row>
    <row r="125" spans="1:5" x14ac:dyDescent="0.35">
      <c r="A125" s="12" t="s">
        <v>248</v>
      </c>
      <c r="B125" s="21">
        <f>SUM(B95:B124)</f>
        <v>4546615</v>
      </c>
      <c r="C125" s="21">
        <f>SUM(C95:C124)</f>
        <v>2273000</v>
      </c>
      <c r="D125" s="20"/>
      <c r="E125" s="24"/>
    </row>
    <row r="126" spans="1:5" x14ac:dyDescent="0.35">
      <c r="A126" s="1" t="s">
        <v>251</v>
      </c>
      <c r="B126" s="23">
        <f>D126-D124</f>
        <v>72200</v>
      </c>
      <c r="C126" s="23">
        <v>0</v>
      </c>
      <c r="D126" s="19">
        <f>4000000+1100000+70000+105000+13056</f>
        <v>5288056</v>
      </c>
      <c r="E126" s="5"/>
    </row>
    <row r="127" spans="1:5" x14ac:dyDescent="0.35">
      <c r="A127" s="1" t="s">
        <v>252</v>
      </c>
      <c r="B127" s="23">
        <f>D127-D126+C127</f>
        <v>149879</v>
      </c>
      <c r="C127" s="23">
        <f>15000+20000+40000+3000+10000+20000</f>
        <v>108000</v>
      </c>
      <c r="D127" s="19">
        <f>4851000+305000+222904-48969</f>
        <v>5329935</v>
      </c>
      <c r="E127" s="5"/>
    </row>
    <row r="128" spans="1:5" x14ac:dyDescent="0.35">
      <c r="A128" s="1" t="s">
        <v>253</v>
      </c>
      <c r="B128" s="23">
        <v>0</v>
      </c>
      <c r="C128" s="23">
        <v>100000</v>
      </c>
      <c r="D128" s="19">
        <f>D127-C128</f>
        <v>5229935</v>
      </c>
      <c r="E128" s="5"/>
    </row>
    <row r="129" spans="1:5" x14ac:dyDescent="0.35">
      <c r="A129" s="1" t="s">
        <v>254</v>
      </c>
      <c r="B129" s="23">
        <v>0</v>
      </c>
      <c r="C129" s="23">
        <f>D128-D129</f>
        <v>768000</v>
      </c>
      <c r="D129" s="19">
        <f>4000000+183000+222904-48969+105000</f>
        <v>4461935</v>
      </c>
      <c r="E129" s="5" t="s">
        <v>556</v>
      </c>
    </row>
    <row r="130" spans="1:5" x14ac:dyDescent="0.35">
      <c r="A130" s="1" t="s">
        <v>255</v>
      </c>
      <c r="B130" s="23">
        <v>0</v>
      </c>
      <c r="C130" s="23">
        <f>D129-D130</f>
        <v>374000</v>
      </c>
      <c r="D130" s="19">
        <f>3500000+400000+14000+173935</f>
        <v>4087935</v>
      </c>
      <c r="E130" s="5" t="s">
        <v>557</v>
      </c>
    </row>
    <row r="131" spans="1:5" x14ac:dyDescent="0.35">
      <c r="A131" s="1" t="s">
        <v>256</v>
      </c>
      <c r="B131" s="23">
        <v>0</v>
      </c>
      <c r="C131" s="23">
        <v>0</v>
      </c>
      <c r="D131" s="19">
        <f>D130</f>
        <v>4087935</v>
      </c>
      <c r="E131" s="5"/>
    </row>
    <row r="132" spans="1:5" x14ac:dyDescent="0.35">
      <c r="A132" s="1" t="s">
        <v>257</v>
      </c>
      <c r="B132" s="23">
        <v>0</v>
      </c>
      <c r="C132" s="23">
        <v>0</v>
      </c>
      <c r="D132" s="19">
        <f>D131</f>
        <v>4087935</v>
      </c>
      <c r="E132" s="5"/>
    </row>
    <row r="133" spans="1:5" x14ac:dyDescent="0.35">
      <c r="A133" s="1" t="s">
        <v>258</v>
      </c>
      <c r="B133" s="23">
        <f>D133-D132+C133</f>
        <v>380866</v>
      </c>
      <c r="C133" s="23">
        <v>20000</v>
      </c>
      <c r="D133" s="19">
        <f>4000000+410000+7000+31801</f>
        <v>4448801</v>
      </c>
      <c r="E133" s="5"/>
    </row>
    <row r="134" spans="1:5" x14ac:dyDescent="0.35">
      <c r="A134" s="1" t="s">
        <v>259</v>
      </c>
      <c r="B134" s="23">
        <f>D134-D133</f>
        <v>189902</v>
      </c>
      <c r="C134" s="23">
        <v>0</v>
      </c>
      <c r="D134" s="19">
        <f>4000000+540000+9000+89703</f>
        <v>4638703</v>
      </c>
      <c r="E134" s="5"/>
    </row>
    <row r="135" spans="1:5" x14ac:dyDescent="0.35">
      <c r="A135" s="1" t="s">
        <v>260</v>
      </c>
      <c r="B135" s="23">
        <f>D135-D134</f>
        <v>57000</v>
      </c>
      <c r="C135" s="23">
        <v>0</v>
      </c>
      <c r="D135" s="19">
        <f>4000000+640000+7000+48703</f>
        <v>4695703</v>
      </c>
      <c r="E135" s="5"/>
    </row>
    <row r="136" spans="1:5" x14ac:dyDescent="0.35">
      <c r="A136" s="1" t="s">
        <v>261</v>
      </c>
      <c r="B136" s="23">
        <v>0</v>
      </c>
      <c r="C136" s="23">
        <v>0</v>
      </c>
      <c r="D136" s="19">
        <f>D135</f>
        <v>4695703</v>
      </c>
      <c r="E136" s="5"/>
    </row>
    <row r="137" spans="1:5" x14ac:dyDescent="0.35">
      <c r="A137" s="1" t="s">
        <v>262</v>
      </c>
      <c r="B137" s="23">
        <f>D137-D136</f>
        <v>59966</v>
      </c>
      <c r="C137" s="23">
        <v>0</v>
      </c>
      <c r="D137" s="19">
        <f>3500000+900000+20000+135669+200000</f>
        <v>4755669</v>
      </c>
      <c r="E137" s="5"/>
    </row>
    <row r="138" spans="1:5" x14ac:dyDescent="0.35">
      <c r="A138" s="1" t="s">
        <v>263</v>
      </c>
      <c r="B138" s="23">
        <v>0</v>
      </c>
      <c r="C138" s="23">
        <v>400000</v>
      </c>
      <c r="D138" s="19">
        <f>D137-C138</f>
        <v>4355669</v>
      </c>
      <c r="E138" s="5" t="s">
        <v>558</v>
      </c>
    </row>
    <row r="139" spans="1:5" x14ac:dyDescent="0.35">
      <c r="A139" s="1" t="s">
        <v>264</v>
      </c>
      <c r="B139" s="23">
        <f>D139-D138</f>
        <v>185302</v>
      </c>
      <c r="C139" s="23">
        <v>0</v>
      </c>
      <c r="D139" s="19">
        <f>3500000+1000000+8000+32971</f>
        <v>4540971</v>
      </c>
      <c r="E139" s="5"/>
    </row>
    <row r="140" spans="1:5" x14ac:dyDescent="0.35">
      <c r="A140" s="1" t="s">
        <v>265</v>
      </c>
      <c r="B140" s="23">
        <f>D140-D139</f>
        <v>209226</v>
      </c>
      <c r="C140" s="23">
        <v>0</v>
      </c>
      <c r="D140" s="19">
        <f>3500000+1000000+160000+36000+54197</f>
        <v>4750197</v>
      </c>
      <c r="E140" s="5"/>
    </row>
    <row r="141" spans="1:5" x14ac:dyDescent="0.35">
      <c r="A141" s="1" t="s">
        <v>266</v>
      </c>
      <c r="B141" s="23">
        <f>D141-D140+C141</f>
        <v>175866</v>
      </c>
      <c r="C141" s="23">
        <f>32000+20000</f>
        <v>52000</v>
      </c>
      <c r="D141" s="19">
        <f>3500000+1100000+140000+31000+3063+100000</f>
        <v>4874063</v>
      </c>
      <c r="E141" s="5"/>
    </row>
    <row r="142" spans="1:5" x14ac:dyDescent="0.35">
      <c r="A142" s="1" t="s">
        <v>267</v>
      </c>
      <c r="B142" s="23">
        <v>13500</v>
      </c>
      <c r="C142" s="23">
        <v>0</v>
      </c>
      <c r="D142" s="19">
        <f>D141+B142</f>
        <v>4887563</v>
      </c>
      <c r="E142" s="5"/>
    </row>
    <row r="143" spans="1:5" x14ac:dyDescent="0.35">
      <c r="A143" s="1" t="s">
        <v>268</v>
      </c>
      <c r="B143" s="23">
        <v>0</v>
      </c>
      <c r="C143" s="23">
        <v>17000</v>
      </c>
      <c r="D143" s="19">
        <f>D142-C143</f>
        <v>4870563</v>
      </c>
      <c r="E143" s="5"/>
    </row>
    <row r="144" spans="1:5" x14ac:dyDescent="0.35">
      <c r="A144" s="1" t="s">
        <v>269</v>
      </c>
      <c r="B144" s="23">
        <v>0</v>
      </c>
      <c r="C144" s="23">
        <v>0</v>
      </c>
      <c r="D144" s="19">
        <f>D143</f>
        <v>4870563</v>
      </c>
      <c r="E144" s="5"/>
    </row>
    <row r="145" spans="1:5" x14ac:dyDescent="0.35">
      <c r="A145" s="1" t="s">
        <v>270</v>
      </c>
      <c r="B145" s="23">
        <f>D145-D144+C145</f>
        <v>19002</v>
      </c>
      <c r="C145" s="23">
        <f>40000+1500000+100000</f>
        <v>1640000</v>
      </c>
      <c r="D145" s="19">
        <f>2000000+1100000+150000+31000+68565-100000</f>
        <v>3249565</v>
      </c>
      <c r="E145" s="5" t="s">
        <v>559</v>
      </c>
    </row>
    <row r="146" spans="1:5" x14ac:dyDescent="0.35">
      <c r="A146" s="1" t="s">
        <v>271</v>
      </c>
      <c r="B146" s="23">
        <f>D146-D145</f>
        <v>282773</v>
      </c>
      <c r="C146" s="23">
        <v>0</v>
      </c>
      <c r="D146" s="19">
        <f>2000000+1300000+210000+17000+5338</f>
        <v>3532338</v>
      </c>
      <c r="E146" s="5"/>
    </row>
    <row r="147" spans="1:5" x14ac:dyDescent="0.35">
      <c r="A147" s="1" t="s">
        <v>272</v>
      </c>
      <c r="B147" s="23">
        <f>D147-D146+C147</f>
        <v>264422</v>
      </c>
      <c r="C147" s="23">
        <v>50000</v>
      </c>
      <c r="D147" s="19">
        <f>2000000+1400000+140000+7000+199760</f>
        <v>3746760</v>
      </c>
      <c r="E147" s="5"/>
    </row>
    <row r="148" spans="1:5" x14ac:dyDescent="0.35">
      <c r="A148" s="1" t="s">
        <v>273</v>
      </c>
      <c r="B148" s="23">
        <f>D148-D147</f>
        <v>509859</v>
      </c>
      <c r="C148" s="23">
        <v>0</v>
      </c>
      <c r="D148" s="19">
        <f>2500000+1500000+104000+152619</f>
        <v>4256619</v>
      </c>
      <c r="E148" s="5"/>
    </row>
    <row r="149" spans="1:5" x14ac:dyDescent="0.35">
      <c r="A149" s="1" t="s">
        <v>274</v>
      </c>
      <c r="B149" s="23">
        <v>0</v>
      </c>
      <c r="C149" s="23">
        <v>0</v>
      </c>
      <c r="D149" s="19">
        <f>D148</f>
        <v>4256619</v>
      </c>
      <c r="E149" s="5"/>
    </row>
    <row r="150" spans="1:5" x14ac:dyDescent="0.35">
      <c r="A150" s="1" t="s">
        <v>275</v>
      </c>
      <c r="B150" s="23">
        <f>D150-D149</f>
        <v>249303</v>
      </c>
      <c r="C150" s="23">
        <v>0</v>
      </c>
      <c r="D150" s="19">
        <f>2500000+1600000+120000+14000+271922</f>
        <v>4505922</v>
      </c>
      <c r="E150" s="5"/>
    </row>
    <row r="151" spans="1:5" x14ac:dyDescent="0.35">
      <c r="A151" s="1" t="s">
        <v>276</v>
      </c>
      <c r="B151" s="23">
        <f>D151-D150+C151</f>
        <v>111700</v>
      </c>
      <c r="C151" s="23">
        <v>74000</v>
      </c>
      <c r="D151" s="19">
        <f>3000000+1400000+108000+35622</f>
        <v>4543622</v>
      </c>
      <c r="E151" s="5"/>
    </row>
    <row r="152" spans="1:5" x14ac:dyDescent="0.35">
      <c r="A152" s="1" t="s">
        <v>277</v>
      </c>
      <c r="B152" s="23">
        <f>D152-D151</f>
        <v>189000</v>
      </c>
      <c r="C152" s="23">
        <v>0</v>
      </c>
      <c r="D152" s="19">
        <f>1300000+250000+17000+165622+2000000+1000000</f>
        <v>4732622</v>
      </c>
      <c r="E152" s="5"/>
    </row>
    <row r="153" spans="1:5" x14ac:dyDescent="0.35">
      <c r="A153" s="1" t="s">
        <v>278</v>
      </c>
      <c r="B153" s="23">
        <v>0</v>
      </c>
      <c r="C153" s="23">
        <v>0</v>
      </c>
      <c r="D153" s="19">
        <f>D152</f>
        <v>4732622</v>
      </c>
      <c r="E153" s="5"/>
    </row>
    <row r="154" spans="1:5" x14ac:dyDescent="0.35">
      <c r="A154" s="1" t="s">
        <v>279</v>
      </c>
      <c r="B154" s="23">
        <v>0</v>
      </c>
      <c r="C154" s="23">
        <v>0</v>
      </c>
      <c r="D154" s="19">
        <f>D153</f>
        <v>4732622</v>
      </c>
      <c r="E154" s="5"/>
    </row>
    <row r="155" spans="1:5" x14ac:dyDescent="0.35">
      <c r="A155" s="1" t="s">
        <v>280</v>
      </c>
      <c r="B155" s="23">
        <v>0</v>
      </c>
      <c r="C155" s="23">
        <v>0</v>
      </c>
      <c r="D155" s="19">
        <f>D154</f>
        <v>4732622</v>
      </c>
      <c r="E155" s="5"/>
    </row>
    <row r="156" spans="1:5" x14ac:dyDescent="0.35">
      <c r="A156" s="1" t="s">
        <v>281</v>
      </c>
      <c r="B156" s="23">
        <v>0</v>
      </c>
      <c r="C156" s="23">
        <v>0</v>
      </c>
      <c r="D156" s="19">
        <f>D155</f>
        <v>4732622</v>
      </c>
      <c r="E156" s="5"/>
    </row>
    <row r="157" spans="1:5" x14ac:dyDescent="0.35">
      <c r="A157" s="12" t="s">
        <v>282</v>
      </c>
      <c r="B157" s="21">
        <f>SUM(B126:B156)</f>
        <v>3119766</v>
      </c>
      <c r="C157" s="21">
        <f>SUM(C126:C156)</f>
        <v>3603000</v>
      </c>
      <c r="D157" s="20">
        <f>B157-C157</f>
        <v>-483234</v>
      </c>
      <c r="E157" s="24"/>
    </row>
    <row r="158" spans="1:5" x14ac:dyDescent="0.35">
      <c r="A158" s="1" t="s">
        <v>283</v>
      </c>
      <c r="B158" s="23"/>
      <c r="C158" s="23"/>
      <c r="D158" s="19"/>
      <c r="E158" s="5"/>
    </row>
    <row r="159" spans="1:5" x14ac:dyDescent="0.35">
      <c r="A159" s="1" t="s">
        <v>284</v>
      </c>
      <c r="B159" s="23"/>
      <c r="C159" s="23"/>
      <c r="D159" s="19"/>
      <c r="E159" s="5"/>
    </row>
    <row r="160" spans="1:5" x14ac:dyDescent="0.35">
      <c r="A160" s="1" t="s">
        <v>285</v>
      </c>
      <c r="B160" s="23"/>
      <c r="C160" s="23"/>
      <c r="D160" s="19"/>
      <c r="E160" s="5"/>
    </row>
    <row r="161" spans="1:5" x14ac:dyDescent="0.35">
      <c r="A161" s="1" t="s">
        <v>286</v>
      </c>
      <c r="B161" s="23"/>
      <c r="C161" s="23"/>
      <c r="D161" s="19"/>
      <c r="E161" s="5"/>
    </row>
    <row r="162" spans="1:5" x14ac:dyDescent="0.35">
      <c r="A162" s="1" t="s">
        <v>287</v>
      </c>
      <c r="B162" s="23"/>
      <c r="C162" s="23"/>
      <c r="D162" s="19"/>
      <c r="E162" s="5"/>
    </row>
    <row r="163" spans="1:5" x14ac:dyDescent="0.35">
      <c r="A163" s="1" t="s">
        <v>288</v>
      </c>
      <c r="B163" s="23"/>
      <c r="C163" s="23"/>
      <c r="D163" s="19"/>
      <c r="E163" s="5"/>
    </row>
    <row r="164" spans="1:5" x14ac:dyDescent="0.35">
      <c r="A164" s="1" t="s">
        <v>289</v>
      </c>
      <c r="B164" s="23"/>
      <c r="C164" s="23"/>
      <c r="D164" s="19"/>
      <c r="E164" s="5"/>
    </row>
    <row r="165" spans="1:5" x14ac:dyDescent="0.35">
      <c r="A165" s="1" t="s">
        <v>290</v>
      </c>
      <c r="B165" s="23"/>
      <c r="C165" s="23"/>
      <c r="D165" s="19"/>
      <c r="E165" s="5"/>
    </row>
    <row r="166" spans="1:5" x14ac:dyDescent="0.35">
      <c r="A166" s="1" t="s">
        <v>291</v>
      </c>
      <c r="B166" s="23"/>
      <c r="C166" s="23"/>
      <c r="D166" s="19"/>
      <c r="E166" s="5"/>
    </row>
    <row r="167" spans="1:5" x14ac:dyDescent="0.35">
      <c r="A167" s="1" t="s">
        <v>292</v>
      </c>
      <c r="B167" s="23"/>
      <c r="C167" s="23"/>
      <c r="D167" s="19"/>
      <c r="E167" s="5"/>
    </row>
    <row r="168" spans="1:5" x14ac:dyDescent="0.35">
      <c r="A168" s="1" t="s">
        <v>293</v>
      </c>
      <c r="B168" s="23"/>
      <c r="C168" s="23"/>
      <c r="D168" s="19"/>
      <c r="E168" s="5"/>
    </row>
    <row r="169" spans="1:5" x14ac:dyDescent="0.35">
      <c r="A169" s="1" t="s">
        <v>294</v>
      </c>
      <c r="B169" s="23"/>
      <c r="C169" s="23"/>
      <c r="D169" s="19"/>
      <c r="E169" s="5"/>
    </row>
    <row r="170" spans="1:5" x14ac:dyDescent="0.35">
      <c r="A170" s="1" t="s">
        <v>295</v>
      </c>
      <c r="B170" s="23"/>
      <c r="C170" s="23"/>
      <c r="D170" s="19"/>
      <c r="E170" s="5"/>
    </row>
    <row r="171" spans="1:5" x14ac:dyDescent="0.35">
      <c r="A171" s="1" t="s">
        <v>296</v>
      </c>
      <c r="B171" s="23"/>
      <c r="C171" s="23"/>
      <c r="D171" s="19"/>
      <c r="E171" s="5"/>
    </row>
    <row r="172" spans="1:5" x14ac:dyDescent="0.35">
      <c r="A172" s="1" t="s">
        <v>297</v>
      </c>
      <c r="B172" s="23"/>
      <c r="C172" s="23"/>
      <c r="D172" s="19"/>
      <c r="E172" s="5"/>
    </row>
    <row r="173" spans="1:5" x14ac:dyDescent="0.35">
      <c r="A173" s="1" t="s">
        <v>298</v>
      </c>
      <c r="B173" s="23"/>
      <c r="C173" s="23"/>
      <c r="D173" s="19"/>
      <c r="E173" s="5"/>
    </row>
    <row r="174" spans="1:5" x14ac:dyDescent="0.35">
      <c r="A174" s="1" t="s">
        <v>299</v>
      </c>
      <c r="B174" s="23"/>
      <c r="C174" s="23"/>
      <c r="D174" s="19"/>
      <c r="E174" s="5"/>
    </row>
    <row r="175" spans="1:5" x14ac:dyDescent="0.35">
      <c r="A175" s="1" t="s">
        <v>300</v>
      </c>
      <c r="B175" s="23"/>
      <c r="C175" s="23"/>
      <c r="D175" s="19"/>
      <c r="E175" s="5"/>
    </row>
    <row r="176" spans="1:5" x14ac:dyDescent="0.35">
      <c r="A176" s="1" t="s">
        <v>301</v>
      </c>
      <c r="B176" s="23"/>
      <c r="C176" s="23"/>
      <c r="D176" s="19"/>
      <c r="E176" s="5"/>
    </row>
    <row r="177" spans="1:5" x14ac:dyDescent="0.35">
      <c r="A177" s="1" t="s">
        <v>302</v>
      </c>
      <c r="B177" s="23"/>
      <c r="C177" s="23"/>
      <c r="D177" s="19"/>
      <c r="E177" s="5"/>
    </row>
    <row r="178" spans="1:5" x14ac:dyDescent="0.35">
      <c r="A178" s="1" t="s">
        <v>303</v>
      </c>
      <c r="B178" s="23"/>
      <c r="C178" s="23"/>
      <c r="D178" s="19"/>
      <c r="E178" s="5"/>
    </row>
    <row r="179" spans="1:5" x14ac:dyDescent="0.35">
      <c r="A179" s="1" t="s">
        <v>304</v>
      </c>
      <c r="B179" s="23"/>
      <c r="C179" s="23"/>
      <c r="D179" s="19"/>
      <c r="E179" s="5"/>
    </row>
    <row r="180" spans="1:5" x14ac:dyDescent="0.35">
      <c r="A180" s="1" t="s">
        <v>305</v>
      </c>
      <c r="B180" s="23"/>
      <c r="C180" s="23"/>
      <c r="D180" s="19"/>
      <c r="E180" s="5"/>
    </row>
    <row r="181" spans="1:5" x14ac:dyDescent="0.35">
      <c r="A181" s="1" t="s">
        <v>306</v>
      </c>
      <c r="B181" s="23"/>
      <c r="C181" s="23"/>
      <c r="D181" s="19"/>
      <c r="E181" s="5"/>
    </row>
    <row r="182" spans="1:5" x14ac:dyDescent="0.35">
      <c r="A182" s="1" t="s">
        <v>307</v>
      </c>
      <c r="B182" s="23"/>
      <c r="C182" s="23"/>
      <c r="D182" s="19"/>
      <c r="E182" s="5"/>
    </row>
    <row r="183" spans="1:5" x14ac:dyDescent="0.35">
      <c r="A183" s="1" t="s">
        <v>308</v>
      </c>
      <c r="B183" s="23"/>
      <c r="C183" s="23"/>
      <c r="D183" s="19"/>
      <c r="E183" s="5"/>
    </row>
    <row r="184" spans="1:5" x14ac:dyDescent="0.35">
      <c r="A184" s="1" t="s">
        <v>309</v>
      </c>
      <c r="B184" s="23"/>
      <c r="C184" s="23"/>
      <c r="D184" s="19"/>
      <c r="E184" s="5"/>
    </row>
    <row r="185" spans="1:5" x14ac:dyDescent="0.35">
      <c r="A185" s="1" t="s">
        <v>310</v>
      </c>
      <c r="B185" s="23"/>
      <c r="C185" s="23"/>
      <c r="D185" s="19"/>
      <c r="E185" s="5"/>
    </row>
    <row r="186" spans="1:5" x14ac:dyDescent="0.35">
      <c r="A186" s="1" t="s">
        <v>311</v>
      </c>
      <c r="B186" s="23"/>
      <c r="C186" s="23"/>
      <c r="D186" s="19"/>
      <c r="E186" s="5"/>
    </row>
    <row r="187" spans="1:5" x14ac:dyDescent="0.35">
      <c r="A187" s="1" t="s">
        <v>312</v>
      </c>
      <c r="B187" s="23"/>
      <c r="C187" s="23"/>
      <c r="D187" s="19"/>
      <c r="E187" s="5"/>
    </row>
    <row r="188" spans="1:5" x14ac:dyDescent="0.35">
      <c r="A188" s="12" t="s">
        <v>313</v>
      </c>
      <c r="B188" s="21">
        <f>SUM(B158:B187)</f>
        <v>0</v>
      </c>
      <c r="C188" s="21">
        <f>SUM(C158:C187)</f>
        <v>0</v>
      </c>
      <c r="D188" s="20"/>
      <c r="E188" s="24"/>
    </row>
    <row r="189" spans="1:5" x14ac:dyDescent="0.35">
      <c r="A189" s="1" t="s">
        <v>314</v>
      </c>
      <c r="B189" s="23"/>
      <c r="C189" s="23"/>
      <c r="D189" s="19"/>
      <c r="E189" s="5"/>
    </row>
    <row r="190" spans="1:5" x14ac:dyDescent="0.35">
      <c r="A190" s="1" t="s">
        <v>315</v>
      </c>
      <c r="B190" s="23"/>
      <c r="C190" s="23"/>
      <c r="D190" s="19"/>
      <c r="E190" s="5"/>
    </row>
    <row r="191" spans="1:5" x14ac:dyDescent="0.35">
      <c r="A191" s="1" t="s">
        <v>316</v>
      </c>
      <c r="B191" s="23"/>
      <c r="C191" s="23"/>
      <c r="D191" s="19"/>
      <c r="E191" s="5"/>
    </row>
    <row r="192" spans="1:5" x14ac:dyDescent="0.35">
      <c r="A192" s="1" t="s">
        <v>317</v>
      </c>
      <c r="B192" s="23"/>
      <c r="C192" s="23"/>
      <c r="D192" s="19"/>
      <c r="E192" s="5"/>
    </row>
    <row r="193" spans="1:5" x14ac:dyDescent="0.35">
      <c r="A193" s="1" t="s">
        <v>318</v>
      </c>
      <c r="B193" s="23"/>
      <c r="C193" s="23"/>
      <c r="D193" s="19"/>
      <c r="E193" s="5"/>
    </row>
    <row r="194" spans="1:5" x14ac:dyDescent="0.35">
      <c r="A194" s="1" t="s">
        <v>319</v>
      </c>
      <c r="B194" s="23"/>
      <c r="C194" s="23"/>
      <c r="D194" s="19"/>
      <c r="E194" s="5"/>
    </row>
    <row r="195" spans="1:5" x14ac:dyDescent="0.35">
      <c r="A195" s="1" t="s">
        <v>320</v>
      </c>
      <c r="B195" s="23"/>
      <c r="C195" s="23"/>
      <c r="D195" s="19"/>
      <c r="E195" s="5"/>
    </row>
    <row r="196" spans="1:5" x14ac:dyDescent="0.35">
      <c r="A196" s="1" t="s">
        <v>321</v>
      </c>
      <c r="B196" s="23"/>
      <c r="C196" s="23"/>
      <c r="D196" s="19"/>
      <c r="E196" s="5"/>
    </row>
    <row r="197" spans="1:5" x14ac:dyDescent="0.35">
      <c r="A197" s="1" t="s">
        <v>322</v>
      </c>
      <c r="B197" s="23"/>
      <c r="C197" s="23"/>
      <c r="D197" s="19"/>
      <c r="E197" s="5"/>
    </row>
    <row r="198" spans="1:5" x14ac:dyDescent="0.35">
      <c r="A198" s="1" t="s">
        <v>323</v>
      </c>
      <c r="B198" s="23"/>
      <c r="C198" s="23"/>
      <c r="D198" s="19"/>
      <c r="E198" s="5"/>
    </row>
    <row r="199" spans="1:5" x14ac:dyDescent="0.35">
      <c r="A199" s="1" t="s">
        <v>324</v>
      </c>
      <c r="B199" s="23"/>
      <c r="C199" s="23"/>
      <c r="D199" s="19"/>
      <c r="E199" s="5"/>
    </row>
    <row r="200" spans="1:5" x14ac:dyDescent="0.35">
      <c r="A200" s="1" t="s">
        <v>325</v>
      </c>
      <c r="B200" s="23"/>
      <c r="C200" s="23"/>
      <c r="D200" s="19"/>
      <c r="E200" s="5"/>
    </row>
    <row r="201" spans="1:5" x14ac:dyDescent="0.35">
      <c r="A201" s="1" t="s">
        <v>326</v>
      </c>
      <c r="B201" s="23"/>
      <c r="C201" s="23"/>
      <c r="D201" s="19"/>
      <c r="E201" s="5"/>
    </row>
    <row r="202" spans="1:5" x14ac:dyDescent="0.35">
      <c r="A202" s="1" t="s">
        <v>327</v>
      </c>
      <c r="B202" s="23"/>
      <c r="C202" s="23"/>
      <c r="D202" s="19"/>
      <c r="E202" s="5"/>
    </row>
    <row r="203" spans="1:5" x14ac:dyDescent="0.35">
      <c r="A203" s="1" t="s">
        <v>328</v>
      </c>
      <c r="B203" s="23"/>
      <c r="C203" s="23"/>
      <c r="D203" s="19"/>
      <c r="E203" s="5"/>
    </row>
    <row r="204" spans="1:5" x14ac:dyDescent="0.35">
      <c r="A204" s="1" t="s">
        <v>329</v>
      </c>
      <c r="B204" s="23"/>
      <c r="C204" s="23"/>
      <c r="D204" s="19"/>
      <c r="E204" s="5"/>
    </row>
    <row r="205" spans="1:5" x14ac:dyDescent="0.35">
      <c r="A205" s="1" t="s">
        <v>330</v>
      </c>
      <c r="B205" s="23"/>
      <c r="C205" s="23"/>
      <c r="D205" s="19"/>
      <c r="E205" s="5"/>
    </row>
    <row r="206" spans="1:5" x14ac:dyDescent="0.35">
      <c r="A206" s="1" t="s">
        <v>331</v>
      </c>
      <c r="B206" s="23"/>
      <c r="C206" s="23"/>
      <c r="D206" s="19"/>
      <c r="E206" s="5"/>
    </row>
    <row r="207" spans="1:5" x14ac:dyDescent="0.35">
      <c r="A207" s="1" t="s">
        <v>332</v>
      </c>
      <c r="B207" s="23"/>
      <c r="C207" s="23"/>
      <c r="D207" s="19"/>
      <c r="E207" s="5"/>
    </row>
    <row r="208" spans="1:5" x14ac:dyDescent="0.35">
      <c r="A208" s="1" t="s">
        <v>333</v>
      </c>
      <c r="B208" s="23"/>
      <c r="C208" s="23"/>
      <c r="D208" s="19"/>
      <c r="E208" s="5"/>
    </row>
    <row r="209" spans="1:5" x14ac:dyDescent="0.35">
      <c r="A209" s="1" t="s">
        <v>334</v>
      </c>
      <c r="B209" s="23"/>
      <c r="C209" s="23"/>
      <c r="D209" s="19"/>
      <c r="E209" s="5"/>
    </row>
    <row r="210" spans="1:5" x14ac:dyDescent="0.35">
      <c r="A210" s="1" t="s">
        <v>335</v>
      </c>
      <c r="B210" s="23"/>
      <c r="C210" s="23"/>
      <c r="D210" s="19"/>
      <c r="E210" s="5"/>
    </row>
    <row r="211" spans="1:5" x14ac:dyDescent="0.35">
      <c r="A211" s="1" t="s">
        <v>336</v>
      </c>
      <c r="B211" s="23"/>
      <c r="C211" s="23"/>
      <c r="D211" s="19"/>
      <c r="E211" s="5"/>
    </row>
    <row r="212" spans="1:5" x14ac:dyDescent="0.35">
      <c r="A212" s="1" t="s">
        <v>337</v>
      </c>
      <c r="B212" s="23"/>
      <c r="C212" s="23"/>
      <c r="D212" s="19"/>
      <c r="E212" s="5"/>
    </row>
    <row r="213" spans="1:5" x14ac:dyDescent="0.35">
      <c r="A213" s="1" t="s">
        <v>338</v>
      </c>
      <c r="B213" s="23"/>
      <c r="C213" s="23"/>
      <c r="D213" s="19"/>
      <c r="E213" s="5"/>
    </row>
    <row r="214" spans="1:5" x14ac:dyDescent="0.35">
      <c r="A214" s="1" t="s">
        <v>339</v>
      </c>
      <c r="B214" s="23"/>
      <c r="C214" s="23"/>
      <c r="D214" s="19"/>
      <c r="E214" s="5"/>
    </row>
    <row r="215" spans="1:5" x14ac:dyDescent="0.35">
      <c r="A215" s="1" t="s">
        <v>340</v>
      </c>
      <c r="B215" s="23"/>
      <c r="C215" s="23"/>
      <c r="D215" s="19"/>
      <c r="E215" s="5"/>
    </row>
    <row r="216" spans="1:5" x14ac:dyDescent="0.35">
      <c r="A216" s="1" t="s">
        <v>341</v>
      </c>
      <c r="B216" s="23"/>
      <c r="C216" s="23"/>
      <c r="D216" s="19"/>
      <c r="E216" s="5"/>
    </row>
    <row r="217" spans="1:5" x14ac:dyDescent="0.35">
      <c r="A217" s="1" t="s">
        <v>342</v>
      </c>
      <c r="B217" s="23"/>
      <c r="C217" s="23"/>
      <c r="D217" s="19"/>
      <c r="E217" s="5"/>
    </row>
    <row r="218" spans="1:5" x14ac:dyDescent="0.35">
      <c r="A218" s="1" t="s">
        <v>343</v>
      </c>
      <c r="B218" s="23"/>
      <c r="C218" s="23"/>
      <c r="D218" s="19"/>
      <c r="E218" s="5"/>
    </row>
    <row r="219" spans="1:5" x14ac:dyDescent="0.35">
      <c r="A219" s="1" t="s">
        <v>344</v>
      </c>
      <c r="B219" s="23"/>
      <c r="C219" s="23"/>
      <c r="D219" s="19"/>
      <c r="E219" s="5"/>
    </row>
    <row r="220" spans="1:5" x14ac:dyDescent="0.35">
      <c r="A220" s="12" t="s">
        <v>345</v>
      </c>
      <c r="B220" s="21">
        <f>SUM(B189:B219)</f>
        <v>0</v>
      </c>
      <c r="C220" s="21">
        <f>SUM(C189:C219)</f>
        <v>0</v>
      </c>
      <c r="D220" s="20"/>
      <c r="E220" s="24"/>
    </row>
    <row r="221" spans="1:5" x14ac:dyDescent="0.35">
      <c r="A221" s="1" t="s">
        <v>346</v>
      </c>
      <c r="B221" s="23"/>
      <c r="C221" s="23"/>
      <c r="D221" s="19"/>
      <c r="E221" s="5"/>
    </row>
    <row r="222" spans="1:5" x14ac:dyDescent="0.35">
      <c r="A222" s="1" t="s">
        <v>347</v>
      </c>
      <c r="B222" s="23"/>
      <c r="C222" s="23"/>
      <c r="D222" s="19"/>
      <c r="E222" s="5"/>
    </row>
    <row r="223" spans="1:5" x14ac:dyDescent="0.35">
      <c r="A223" s="1" t="s">
        <v>348</v>
      </c>
      <c r="B223" s="23"/>
      <c r="C223" s="23"/>
      <c r="D223" s="19"/>
      <c r="E223" s="5"/>
    </row>
    <row r="224" spans="1:5" x14ac:dyDescent="0.35">
      <c r="A224" s="1" t="s">
        <v>349</v>
      </c>
      <c r="B224" s="23"/>
      <c r="C224" s="23"/>
      <c r="D224" s="19"/>
      <c r="E224" s="5"/>
    </row>
    <row r="225" spans="1:5" x14ac:dyDescent="0.35">
      <c r="A225" s="1" t="s">
        <v>350</v>
      </c>
      <c r="B225" s="23"/>
      <c r="C225" s="23"/>
      <c r="D225" s="19"/>
      <c r="E225" s="5"/>
    </row>
    <row r="226" spans="1:5" x14ac:dyDescent="0.35">
      <c r="A226" s="1" t="s">
        <v>351</v>
      </c>
      <c r="B226" s="23"/>
      <c r="C226" s="23"/>
      <c r="D226" s="19"/>
      <c r="E226" s="5"/>
    </row>
    <row r="227" spans="1:5" x14ac:dyDescent="0.35">
      <c r="A227" s="1" t="s">
        <v>352</v>
      </c>
      <c r="B227" s="23"/>
      <c r="C227" s="23"/>
      <c r="D227" s="19"/>
      <c r="E227" s="5"/>
    </row>
    <row r="228" spans="1:5" x14ac:dyDescent="0.35">
      <c r="A228" s="1" t="s">
        <v>353</v>
      </c>
      <c r="B228" s="23"/>
      <c r="C228" s="23"/>
      <c r="D228" s="19"/>
      <c r="E228" s="5"/>
    </row>
    <row r="229" spans="1:5" x14ac:dyDescent="0.35">
      <c r="A229" s="1" t="s">
        <v>354</v>
      </c>
      <c r="B229" s="23"/>
      <c r="C229" s="23"/>
      <c r="D229" s="19"/>
      <c r="E229" s="5"/>
    </row>
    <row r="230" spans="1:5" x14ac:dyDescent="0.35">
      <c r="A230" s="1" t="s">
        <v>355</v>
      </c>
      <c r="B230" s="23"/>
      <c r="C230" s="23"/>
      <c r="D230" s="19"/>
      <c r="E230" s="5"/>
    </row>
    <row r="231" spans="1:5" x14ac:dyDescent="0.35">
      <c r="A231" s="1" t="s">
        <v>356</v>
      </c>
      <c r="B231" s="23"/>
      <c r="C231" s="23"/>
      <c r="D231" s="19"/>
      <c r="E231" s="5"/>
    </row>
    <row r="232" spans="1:5" x14ac:dyDescent="0.35">
      <c r="A232" s="1" t="s">
        <v>357</v>
      </c>
      <c r="B232" s="23"/>
      <c r="C232" s="23"/>
      <c r="D232" s="19"/>
      <c r="E232" s="5"/>
    </row>
    <row r="233" spans="1:5" x14ac:dyDescent="0.35">
      <c r="A233" s="1" t="s">
        <v>358</v>
      </c>
      <c r="B233" s="23"/>
      <c r="C233" s="23"/>
      <c r="D233" s="19"/>
      <c r="E233" s="5"/>
    </row>
    <row r="234" spans="1:5" x14ac:dyDescent="0.35">
      <c r="A234" s="1" t="s">
        <v>359</v>
      </c>
      <c r="B234" s="23"/>
      <c r="C234" s="23"/>
      <c r="D234" s="19"/>
      <c r="E234" s="5"/>
    </row>
    <row r="235" spans="1:5" x14ac:dyDescent="0.35">
      <c r="A235" s="1" t="s">
        <v>360</v>
      </c>
      <c r="B235" s="23"/>
      <c r="C235" s="23"/>
      <c r="D235" s="19"/>
      <c r="E235" s="5"/>
    </row>
    <row r="236" spans="1:5" x14ac:dyDescent="0.35">
      <c r="A236" s="1" t="s">
        <v>361</v>
      </c>
      <c r="B236" s="23"/>
      <c r="C236" s="23"/>
      <c r="D236" s="19"/>
      <c r="E236" s="5"/>
    </row>
    <row r="237" spans="1:5" x14ac:dyDescent="0.35">
      <c r="A237" s="1" t="s">
        <v>362</v>
      </c>
      <c r="B237" s="23"/>
      <c r="C237" s="23"/>
      <c r="D237" s="19"/>
      <c r="E237" s="5"/>
    </row>
    <row r="238" spans="1:5" x14ac:dyDescent="0.35">
      <c r="A238" s="1" t="s">
        <v>363</v>
      </c>
      <c r="B238" s="23"/>
      <c r="C238" s="23"/>
      <c r="D238" s="19"/>
      <c r="E238" s="5"/>
    </row>
    <row r="239" spans="1:5" x14ac:dyDescent="0.35">
      <c r="A239" s="1" t="s">
        <v>364</v>
      </c>
      <c r="B239" s="23"/>
      <c r="C239" s="23"/>
      <c r="D239" s="19"/>
      <c r="E239" s="5"/>
    </row>
    <row r="240" spans="1:5" x14ac:dyDescent="0.35">
      <c r="A240" s="1" t="s">
        <v>365</v>
      </c>
      <c r="B240" s="23"/>
      <c r="C240" s="23"/>
      <c r="D240" s="19"/>
      <c r="E240" s="5"/>
    </row>
    <row r="241" spans="1:5" x14ac:dyDescent="0.35">
      <c r="A241" s="1" t="s">
        <v>366</v>
      </c>
      <c r="B241" s="23"/>
      <c r="C241" s="23"/>
      <c r="D241" s="19"/>
      <c r="E241" s="5"/>
    </row>
    <row r="242" spans="1:5" x14ac:dyDescent="0.35">
      <c r="A242" s="1" t="s">
        <v>367</v>
      </c>
      <c r="B242" s="23"/>
      <c r="C242" s="23"/>
      <c r="D242" s="19"/>
      <c r="E242" s="5"/>
    </row>
    <row r="243" spans="1:5" x14ac:dyDescent="0.35">
      <c r="A243" s="1" t="s">
        <v>368</v>
      </c>
      <c r="B243" s="23"/>
      <c r="C243" s="23"/>
      <c r="D243" s="19"/>
      <c r="E243" s="5"/>
    </row>
    <row r="244" spans="1:5" x14ac:dyDescent="0.35">
      <c r="A244" s="1" t="s">
        <v>369</v>
      </c>
      <c r="B244" s="23"/>
      <c r="C244" s="23"/>
      <c r="D244" s="19"/>
      <c r="E244" s="5"/>
    </row>
    <row r="245" spans="1:5" x14ac:dyDescent="0.35">
      <c r="A245" s="1" t="s">
        <v>370</v>
      </c>
      <c r="B245" s="23"/>
      <c r="C245" s="23"/>
      <c r="D245" s="19"/>
      <c r="E245" s="5"/>
    </row>
    <row r="246" spans="1:5" x14ac:dyDescent="0.35">
      <c r="A246" s="1" t="s">
        <v>371</v>
      </c>
      <c r="B246" s="23"/>
      <c r="C246" s="23"/>
      <c r="D246" s="19"/>
      <c r="E246" s="5"/>
    </row>
    <row r="247" spans="1:5" x14ac:dyDescent="0.35">
      <c r="A247" s="1" t="s">
        <v>372</v>
      </c>
      <c r="B247" s="23"/>
      <c r="C247" s="23"/>
      <c r="D247" s="19"/>
      <c r="E247" s="5"/>
    </row>
    <row r="248" spans="1:5" x14ac:dyDescent="0.35">
      <c r="A248" s="1" t="s">
        <v>373</v>
      </c>
      <c r="B248" s="23"/>
      <c r="C248" s="23"/>
      <c r="D248" s="19"/>
      <c r="E248" s="5"/>
    </row>
    <row r="249" spans="1:5" x14ac:dyDescent="0.35">
      <c r="A249" s="1" t="s">
        <v>374</v>
      </c>
      <c r="B249" s="23"/>
      <c r="C249" s="23"/>
      <c r="D249" s="19"/>
      <c r="E249" s="5"/>
    </row>
    <row r="250" spans="1:5" x14ac:dyDescent="0.35">
      <c r="A250" s="1" t="s">
        <v>375</v>
      </c>
      <c r="B250" s="23"/>
      <c r="C250" s="23"/>
      <c r="D250" s="19"/>
      <c r="E250" s="5"/>
    </row>
    <row r="251" spans="1:5" x14ac:dyDescent="0.35">
      <c r="A251" s="1" t="s">
        <v>376</v>
      </c>
      <c r="B251" s="23"/>
      <c r="C251" s="23"/>
      <c r="D251" s="19"/>
      <c r="E251" s="5"/>
    </row>
    <row r="252" spans="1:5" x14ac:dyDescent="0.35">
      <c r="A252" s="12" t="s">
        <v>377</v>
      </c>
      <c r="B252" s="21">
        <f>SUM(B221:B251)</f>
        <v>0</v>
      </c>
      <c r="C252" s="21">
        <f>SUM(C221:C251)</f>
        <v>0</v>
      </c>
      <c r="D252" s="20"/>
      <c r="E252" s="24"/>
    </row>
    <row r="253" spans="1:5" x14ac:dyDescent="0.35">
      <c r="A253" s="1" t="s">
        <v>378</v>
      </c>
      <c r="B253" s="23"/>
      <c r="C253" s="23"/>
      <c r="D253" s="19"/>
      <c r="E253" s="5"/>
    </row>
    <row r="254" spans="1:5" x14ac:dyDescent="0.35">
      <c r="A254" s="1" t="s">
        <v>379</v>
      </c>
      <c r="B254" s="23"/>
      <c r="C254" s="23"/>
      <c r="D254" s="19"/>
      <c r="E254" s="5"/>
    </row>
    <row r="255" spans="1:5" x14ac:dyDescent="0.35">
      <c r="A255" s="1" t="s">
        <v>380</v>
      </c>
      <c r="B255" s="23"/>
      <c r="C255" s="23"/>
      <c r="D255" s="19"/>
      <c r="E255" s="5"/>
    </row>
    <row r="256" spans="1:5" x14ac:dyDescent="0.35">
      <c r="A256" s="1" t="s">
        <v>381</v>
      </c>
      <c r="B256" s="23"/>
      <c r="C256" s="23"/>
      <c r="D256" s="19"/>
      <c r="E256" s="5"/>
    </row>
    <row r="257" spans="1:5" x14ac:dyDescent="0.35">
      <c r="A257" s="1" t="s">
        <v>382</v>
      </c>
      <c r="B257" s="23"/>
      <c r="C257" s="23"/>
      <c r="D257" s="19"/>
      <c r="E257" s="5"/>
    </row>
    <row r="258" spans="1:5" x14ac:dyDescent="0.35">
      <c r="A258" s="1" t="s">
        <v>383</v>
      </c>
      <c r="B258" s="23"/>
      <c r="C258" s="23"/>
      <c r="D258" s="19"/>
      <c r="E258" s="5"/>
    </row>
    <row r="259" spans="1:5" x14ac:dyDescent="0.35">
      <c r="A259" s="1" t="s">
        <v>384</v>
      </c>
      <c r="B259" s="23"/>
      <c r="C259" s="23"/>
      <c r="D259" s="19"/>
      <c r="E259" s="5"/>
    </row>
    <row r="260" spans="1:5" x14ac:dyDescent="0.35">
      <c r="A260" s="1" t="s">
        <v>385</v>
      </c>
      <c r="B260" s="23"/>
      <c r="C260" s="23"/>
      <c r="D260" s="19"/>
      <c r="E260" s="5"/>
    </row>
    <row r="261" spans="1:5" x14ac:dyDescent="0.35">
      <c r="A261" s="1" t="s">
        <v>386</v>
      </c>
      <c r="B261" s="23"/>
      <c r="C261" s="23"/>
      <c r="D261" s="19"/>
      <c r="E261" s="5"/>
    </row>
    <row r="262" spans="1:5" x14ac:dyDescent="0.35">
      <c r="A262" s="1" t="s">
        <v>387</v>
      </c>
      <c r="B262" s="23"/>
      <c r="C262" s="23"/>
      <c r="D262" s="19"/>
      <c r="E262" s="5"/>
    </row>
    <row r="263" spans="1:5" x14ac:dyDescent="0.35">
      <c r="A263" s="1" t="s">
        <v>388</v>
      </c>
      <c r="B263" s="23"/>
      <c r="C263" s="23"/>
      <c r="D263" s="19"/>
      <c r="E263" s="5"/>
    </row>
    <row r="264" spans="1:5" x14ac:dyDescent="0.35">
      <c r="A264" s="1" t="s">
        <v>389</v>
      </c>
      <c r="B264" s="23"/>
      <c r="C264" s="23"/>
      <c r="D264" s="19"/>
      <c r="E264" s="5"/>
    </row>
    <row r="265" spans="1:5" x14ac:dyDescent="0.35">
      <c r="A265" s="1" t="s">
        <v>390</v>
      </c>
      <c r="B265" s="23"/>
      <c r="C265" s="23"/>
      <c r="D265" s="19"/>
      <c r="E265" s="5"/>
    </row>
    <row r="266" spans="1:5" x14ac:dyDescent="0.35">
      <c r="A266" s="1" t="s">
        <v>391</v>
      </c>
      <c r="B266" s="23"/>
      <c r="C266" s="23"/>
      <c r="D266" s="19"/>
      <c r="E266" s="5"/>
    </row>
    <row r="267" spans="1:5" x14ac:dyDescent="0.35">
      <c r="A267" s="1" t="s">
        <v>392</v>
      </c>
      <c r="B267" s="23"/>
      <c r="C267" s="23"/>
      <c r="D267" s="19"/>
      <c r="E267" s="5"/>
    </row>
    <row r="268" spans="1:5" x14ac:dyDescent="0.35">
      <c r="A268" s="1" t="s">
        <v>393</v>
      </c>
      <c r="B268" s="23"/>
      <c r="C268" s="23"/>
      <c r="D268" s="19"/>
      <c r="E268" s="5"/>
    </row>
    <row r="269" spans="1:5" x14ac:dyDescent="0.35">
      <c r="A269" s="1" t="s">
        <v>394</v>
      </c>
      <c r="B269" s="23"/>
      <c r="C269" s="23"/>
      <c r="D269" s="19"/>
      <c r="E269" s="5"/>
    </row>
    <row r="270" spans="1:5" x14ac:dyDescent="0.35">
      <c r="A270" s="1" t="s">
        <v>395</v>
      </c>
      <c r="B270" s="23"/>
      <c r="C270" s="23"/>
      <c r="D270" s="19"/>
      <c r="E270" s="5"/>
    </row>
    <row r="271" spans="1:5" x14ac:dyDescent="0.35">
      <c r="A271" s="1" t="s">
        <v>396</v>
      </c>
      <c r="B271" s="23"/>
      <c r="C271" s="23"/>
      <c r="D271" s="19"/>
      <c r="E271" s="5"/>
    </row>
    <row r="272" spans="1:5" x14ac:dyDescent="0.35">
      <c r="A272" s="1" t="s">
        <v>397</v>
      </c>
      <c r="B272" s="23"/>
      <c r="C272" s="23"/>
      <c r="D272" s="19"/>
      <c r="E272" s="5"/>
    </row>
    <row r="273" spans="1:5" x14ac:dyDescent="0.35">
      <c r="A273" s="1" t="s">
        <v>398</v>
      </c>
      <c r="B273" s="23"/>
      <c r="C273" s="23"/>
      <c r="D273" s="19"/>
      <c r="E273" s="5"/>
    </row>
    <row r="274" spans="1:5" x14ac:dyDescent="0.35">
      <c r="A274" s="1" t="s">
        <v>399</v>
      </c>
      <c r="B274" s="23"/>
      <c r="C274" s="23"/>
      <c r="D274" s="19"/>
      <c r="E274" s="5"/>
    </row>
    <row r="275" spans="1:5" x14ac:dyDescent="0.35">
      <c r="A275" s="1" t="s">
        <v>400</v>
      </c>
      <c r="B275" s="23"/>
      <c r="C275" s="23"/>
      <c r="D275" s="19"/>
      <c r="E275" s="5"/>
    </row>
    <row r="276" spans="1:5" x14ac:dyDescent="0.35">
      <c r="A276" s="1" t="s">
        <v>401</v>
      </c>
      <c r="B276" s="23"/>
      <c r="C276" s="23"/>
      <c r="D276" s="19"/>
      <c r="E276" s="5"/>
    </row>
    <row r="277" spans="1:5" x14ac:dyDescent="0.35">
      <c r="A277" s="1" t="s">
        <v>402</v>
      </c>
      <c r="B277" s="23"/>
      <c r="C277" s="23"/>
      <c r="D277" s="19"/>
      <c r="E277" s="5"/>
    </row>
    <row r="278" spans="1:5" x14ac:dyDescent="0.35">
      <c r="A278" s="1" t="s">
        <v>403</v>
      </c>
      <c r="B278" s="23"/>
      <c r="C278" s="23"/>
      <c r="D278" s="19"/>
      <c r="E278" s="5"/>
    </row>
    <row r="279" spans="1:5" x14ac:dyDescent="0.35">
      <c r="A279" s="1" t="s">
        <v>404</v>
      </c>
      <c r="B279" s="23"/>
      <c r="C279" s="23"/>
      <c r="D279" s="19"/>
      <c r="E279" s="5"/>
    </row>
    <row r="280" spans="1:5" x14ac:dyDescent="0.35">
      <c r="A280" s="1" t="s">
        <v>405</v>
      </c>
      <c r="B280" s="23"/>
      <c r="C280" s="23"/>
      <c r="D280" s="19"/>
      <c r="E280" s="5"/>
    </row>
    <row r="281" spans="1:5" x14ac:dyDescent="0.35">
      <c r="A281" s="1" t="s">
        <v>406</v>
      </c>
      <c r="B281" s="23"/>
      <c r="C281" s="23"/>
      <c r="D281" s="19"/>
      <c r="E281" s="5"/>
    </row>
    <row r="282" spans="1:5" x14ac:dyDescent="0.35">
      <c r="A282" s="1" t="s">
        <v>407</v>
      </c>
      <c r="B282" s="23"/>
      <c r="C282" s="23"/>
      <c r="D282" s="19"/>
      <c r="E282" s="5"/>
    </row>
    <row r="283" spans="1:5" x14ac:dyDescent="0.35">
      <c r="A283" s="12" t="s">
        <v>408</v>
      </c>
      <c r="B283" s="21">
        <f>SUM(B253:B282)</f>
        <v>0</v>
      </c>
      <c r="C283" s="21">
        <f>SUM(C253:C282)</f>
        <v>0</v>
      </c>
      <c r="D283" s="20"/>
      <c r="E283" s="24"/>
    </row>
    <row r="284" spans="1:5" x14ac:dyDescent="0.35">
      <c r="A284" s="1" t="s">
        <v>409</v>
      </c>
      <c r="B284" s="23"/>
      <c r="C284" s="23"/>
      <c r="D284" s="19"/>
      <c r="E284" s="5"/>
    </row>
    <row r="285" spans="1:5" x14ac:dyDescent="0.35">
      <c r="A285" s="1" t="s">
        <v>410</v>
      </c>
      <c r="B285" s="23"/>
      <c r="C285" s="23"/>
      <c r="D285" s="19"/>
      <c r="E285" s="5"/>
    </row>
    <row r="286" spans="1:5" x14ac:dyDescent="0.35">
      <c r="A286" s="1" t="s">
        <v>411</v>
      </c>
      <c r="B286" s="23"/>
      <c r="C286" s="23"/>
      <c r="D286" s="19"/>
      <c r="E286" s="5"/>
    </row>
    <row r="287" spans="1:5" x14ac:dyDescent="0.35">
      <c r="A287" s="1" t="s">
        <v>412</v>
      </c>
      <c r="B287" s="23"/>
      <c r="C287" s="23"/>
      <c r="D287" s="19"/>
      <c r="E287" s="5"/>
    </row>
    <row r="288" spans="1:5" x14ac:dyDescent="0.35">
      <c r="A288" s="1" t="s">
        <v>413</v>
      </c>
      <c r="B288" s="23"/>
      <c r="C288" s="23"/>
      <c r="D288" s="19"/>
      <c r="E288" s="5"/>
    </row>
    <row r="289" spans="1:5" x14ac:dyDescent="0.35">
      <c r="A289" s="1" t="s">
        <v>414</v>
      </c>
      <c r="B289" s="23"/>
      <c r="C289" s="23"/>
      <c r="D289" s="19"/>
      <c r="E289" s="5"/>
    </row>
    <row r="290" spans="1:5" x14ac:dyDescent="0.35">
      <c r="A290" s="1" t="s">
        <v>415</v>
      </c>
      <c r="B290" s="23"/>
      <c r="C290" s="23"/>
      <c r="D290" s="19"/>
      <c r="E290" s="5"/>
    </row>
    <row r="291" spans="1:5" x14ac:dyDescent="0.35">
      <c r="A291" s="1" t="s">
        <v>416</v>
      </c>
      <c r="B291" s="23"/>
      <c r="C291" s="23"/>
      <c r="D291" s="19"/>
      <c r="E291" s="5"/>
    </row>
    <row r="292" spans="1:5" x14ac:dyDescent="0.35">
      <c r="A292" s="1" t="s">
        <v>417</v>
      </c>
      <c r="B292" s="23"/>
      <c r="C292" s="23"/>
      <c r="D292" s="19"/>
      <c r="E292" s="5"/>
    </row>
    <row r="293" spans="1:5" x14ac:dyDescent="0.35">
      <c r="A293" s="1" t="s">
        <v>418</v>
      </c>
      <c r="B293" s="23"/>
      <c r="C293" s="23"/>
      <c r="D293" s="19"/>
      <c r="E293" s="5"/>
    </row>
    <row r="294" spans="1:5" x14ac:dyDescent="0.35">
      <c r="A294" s="1" t="s">
        <v>419</v>
      </c>
      <c r="B294" s="23"/>
      <c r="C294" s="23"/>
      <c r="D294" s="19"/>
      <c r="E294" s="5"/>
    </row>
    <row r="295" spans="1:5" x14ac:dyDescent="0.35">
      <c r="A295" s="1" t="s">
        <v>420</v>
      </c>
      <c r="B295" s="23"/>
      <c r="C295" s="23"/>
      <c r="D295" s="19"/>
      <c r="E295" s="5"/>
    </row>
    <row r="296" spans="1:5" x14ac:dyDescent="0.35">
      <c r="A296" s="1" t="s">
        <v>421</v>
      </c>
      <c r="B296" s="23"/>
      <c r="C296" s="23"/>
      <c r="D296" s="19"/>
      <c r="E296" s="5"/>
    </row>
    <row r="297" spans="1:5" x14ac:dyDescent="0.35">
      <c r="A297" s="1" t="s">
        <v>422</v>
      </c>
      <c r="B297" s="23"/>
      <c r="C297" s="23"/>
      <c r="D297" s="19"/>
      <c r="E297" s="5"/>
    </row>
    <row r="298" spans="1:5" x14ac:dyDescent="0.35">
      <c r="A298" s="1" t="s">
        <v>423</v>
      </c>
      <c r="B298" s="23"/>
      <c r="C298" s="23"/>
      <c r="D298" s="19"/>
      <c r="E298" s="5"/>
    </row>
    <row r="299" spans="1:5" x14ac:dyDescent="0.35">
      <c r="A299" s="1" t="s">
        <v>424</v>
      </c>
      <c r="B299" s="23"/>
      <c r="C299" s="23"/>
      <c r="D299" s="19"/>
      <c r="E299" s="5"/>
    </row>
    <row r="300" spans="1:5" x14ac:dyDescent="0.35">
      <c r="A300" s="1" t="s">
        <v>425</v>
      </c>
      <c r="B300" s="23"/>
      <c r="C300" s="23"/>
      <c r="D300" s="19"/>
      <c r="E300" s="5"/>
    </row>
    <row r="301" spans="1:5" x14ac:dyDescent="0.35">
      <c r="A301" s="1" t="s">
        <v>426</v>
      </c>
      <c r="B301" s="23"/>
      <c r="C301" s="23"/>
      <c r="D301" s="19"/>
      <c r="E301" s="5"/>
    </row>
    <row r="302" spans="1:5" x14ac:dyDescent="0.35">
      <c r="A302" s="1" t="s">
        <v>427</v>
      </c>
      <c r="B302" s="23"/>
      <c r="C302" s="23"/>
      <c r="D302" s="19"/>
      <c r="E302" s="5"/>
    </row>
    <row r="303" spans="1:5" x14ac:dyDescent="0.35">
      <c r="A303" s="1" t="s">
        <v>428</v>
      </c>
      <c r="B303" s="23"/>
      <c r="C303" s="23"/>
      <c r="D303" s="19"/>
      <c r="E303" s="5"/>
    </row>
    <row r="304" spans="1:5" x14ac:dyDescent="0.35">
      <c r="A304" s="1" t="s">
        <v>429</v>
      </c>
      <c r="B304" s="23"/>
      <c r="C304" s="23"/>
      <c r="D304" s="19"/>
      <c r="E304" s="5"/>
    </row>
    <row r="305" spans="1:5" x14ac:dyDescent="0.35">
      <c r="A305" s="1" t="s">
        <v>430</v>
      </c>
      <c r="B305" s="23"/>
      <c r="C305" s="23"/>
      <c r="D305" s="19"/>
      <c r="E305" s="5"/>
    </row>
    <row r="306" spans="1:5" x14ac:dyDescent="0.35">
      <c r="A306" s="1" t="s">
        <v>431</v>
      </c>
      <c r="B306" s="23"/>
      <c r="C306" s="23"/>
      <c r="D306" s="19"/>
      <c r="E306" s="5"/>
    </row>
    <row r="307" spans="1:5" x14ac:dyDescent="0.35">
      <c r="A307" s="1" t="s">
        <v>432</v>
      </c>
      <c r="B307" s="23"/>
      <c r="C307" s="23"/>
      <c r="D307" s="19"/>
      <c r="E307" s="5"/>
    </row>
    <row r="308" spans="1:5" x14ac:dyDescent="0.35">
      <c r="A308" s="1" t="s">
        <v>433</v>
      </c>
      <c r="B308" s="23"/>
      <c r="C308" s="23"/>
      <c r="D308" s="19"/>
      <c r="E308" s="5"/>
    </row>
    <row r="309" spans="1:5" x14ac:dyDescent="0.35">
      <c r="A309" s="1" t="s">
        <v>434</v>
      </c>
      <c r="B309" s="23"/>
      <c r="C309" s="23"/>
      <c r="D309" s="19"/>
      <c r="E309" s="5"/>
    </row>
    <row r="310" spans="1:5" x14ac:dyDescent="0.35">
      <c r="A310" s="1" t="s">
        <v>435</v>
      </c>
      <c r="B310" s="23"/>
      <c r="C310" s="23"/>
      <c r="D310" s="19"/>
      <c r="E310" s="5"/>
    </row>
    <row r="311" spans="1:5" x14ac:dyDescent="0.35">
      <c r="A311" s="1" t="s">
        <v>436</v>
      </c>
      <c r="B311" s="23"/>
      <c r="C311" s="23"/>
      <c r="D311" s="19"/>
      <c r="E311" s="5"/>
    </row>
    <row r="312" spans="1:5" x14ac:dyDescent="0.35">
      <c r="A312" s="1" t="s">
        <v>437</v>
      </c>
      <c r="B312" s="23"/>
      <c r="C312" s="23"/>
      <c r="D312" s="19"/>
      <c r="E312" s="5"/>
    </row>
    <row r="313" spans="1:5" x14ac:dyDescent="0.35">
      <c r="A313" s="1" t="s">
        <v>438</v>
      </c>
      <c r="B313" s="23"/>
      <c r="C313" s="23"/>
      <c r="D313" s="19"/>
      <c r="E313" s="5"/>
    </row>
    <row r="314" spans="1:5" x14ac:dyDescent="0.35">
      <c r="A314" s="1" t="s">
        <v>439</v>
      </c>
      <c r="B314" s="23"/>
      <c r="C314" s="23"/>
      <c r="D314" s="19"/>
      <c r="E314" s="5"/>
    </row>
    <row r="315" spans="1:5" x14ac:dyDescent="0.35">
      <c r="A315" s="12" t="s">
        <v>440</v>
      </c>
      <c r="B315" s="21"/>
      <c r="C315" s="21"/>
      <c r="D315" s="20"/>
      <c r="E315" s="24"/>
    </row>
    <row r="316" spans="1:5" x14ac:dyDescent="0.35">
      <c r="A316" s="1" t="s">
        <v>441</v>
      </c>
      <c r="B316" s="23"/>
      <c r="C316" s="23"/>
      <c r="D316" s="19"/>
      <c r="E316" s="5"/>
    </row>
    <row r="317" spans="1:5" x14ac:dyDescent="0.35">
      <c r="A317" s="1" t="s">
        <v>442</v>
      </c>
      <c r="B317" s="23"/>
      <c r="C317" s="23"/>
      <c r="D317" s="19"/>
      <c r="E317" s="5"/>
    </row>
    <row r="318" spans="1:5" x14ac:dyDescent="0.35">
      <c r="A318" s="1" t="s">
        <v>443</v>
      </c>
      <c r="B318" s="23"/>
      <c r="C318" s="23"/>
      <c r="D318" s="19"/>
      <c r="E318" s="5"/>
    </row>
    <row r="319" spans="1:5" x14ac:dyDescent="0.35">
      <c r="A319" s="1" t="s">
        <v>444</v>
      </c>
      <c r="B319" s="23"/>
      <c r="C319" s="23"/>
      <c r="D319" s="19"/>
      <c r="E319" s="5"/>
    </row>
    <row r="320" spans="1:5" x14ac:dyDescent="0.35">
      <c r="A320" s="1" t="s">
        <v>445</v>
      </c>
      <c r="B320" s="23"/>
      <c r="C320" s="23"/>
      <c r="D320" s="19"/>
      <c r="E320" s="5"/>
    </row>
    <row r="321" spans="1:5" x14ac:dyDescent="0.35">
      <c r="A321" s="1" t="s">
        <v>446</v>
      </c>
      <c r="B321" s="23"/>
      <c r="C321" s="23"/>
      <c r="D321" s="19"/>
      <c r="E321" s="5"/>
    </row>
    <row r="322" spans="1:5" x14ac:dyDescent="0.35">
      <c r="A322" s="1" t="s">
        <v>447</v>
      </c>
      <c r="B322" s="23"/>
      <c r="C322" s="23"/>
      <c r="D322" s="19"/>
      <c r="E322" s="5"/>
    </row>
    <row r="323" spans="1:5" x14ac:dyDescent="0.35">
      <c r="A323" s="1" t="s">
        <v>448</v>
      </c>
      <c r="B323" s="23"/>
      <c r="C323" s="23"/>
      <c r="D323" s="19"/>
      <c r="E323" s="5"/>
    </row>
    <row r="324" spans="1:5" x14ac:dyDescent="0.35">
      <c r="A324" s="1" t="s">
        <v>449</v>
      </c>
      <c r="B324" s="23"/>
      <c r="C324" s="23"/>
      <c r="D324" s="19"/>
      <c r="E324" s="5"/>
    </row>
    <row r="325" spans="1:5" x14ac:dyDescent="0.35">
      <c r="A325" s="1" t="s">
        <v>450</v>
      </c>
      <c r="B325" s="23"/>
      <c r="C325" s="23"/>
      <c r="D325" s="19"/>
      <c r="E325" s="5"/>
    </row>
    <row r="326" spans="1:5" x14ac:dyDescent="0.35">
      <c r="A326" s="1" t="s">
        <v>451</v>
      </c>
      <c r="B326" s="23"/>
      <c r="C326" s="23"/>
      <c r="D326" s="19"/>
      <c r="E326" s="5"/>
    </row>
    <row r="327" spans="1:5" x14ac:dyDescent="0.35">
      <c r="A327" s="1" t="s">
        <v>452</v>
      </c>
      <c r="B327" s="23"/>
      <c r="C327" s="23"/>
      <c r="D327" s="19"/>
      <c r="E327" s="5"/>
    </row>
    <row r="328" spans="1:5" x14ac:dyDescent="0.35">
      <c r="A328" s="1" t="s">
        <v>453</v>
      </c>
      <c r="B328" s="23"/>
      <c r="C328" s="23"/>
      <c r="D328" s="19"/>
      <c r="E328" s="5"/>
    </row>
    <row r="329" spans="1:5" x14ac:dyDescent="0.35">
      <c r="A329" s="1" t="s">
        <v>454</v>
      </c>
      <c r="B329" s="23"/>
      <c r="C329" s="23"/>
      <c r="D329" s="19"/>
      <c r="E329" s="5"/>
    </row>
    <row r="330" spans="1:5" x14ac:dyDescent="0.35">
      <c r="A330" s="1" t="s">
        <v>455</v>
      </c>
      <c r="B330" s="23"/>
      <c r="C330" s="23"/>
      <c r="D330" s="19"/>
      <c r="E330" s="5"/>
    </row>
    <row r="331" spans="1:5" x14ac:dyDescent="0.35">
      <c r="A331" s="1" t="s">
        <v>456</v>
      </c>
      <c r="B331" s="23"/>
      <c r="C331" s="23"/>
      <c r="D331" s="19"/>
      <c r="E331" s="5"/>
    </row>
    <row r="332" spans="1:5" x14ac:dyDescent="0.35">
      <c r="A332" s="1" t="s">
        <v>457</v>
      </c>
      <c r="B332" s="23"/>
      <c r="C332" s="23"/>
      <c r="D332" s="19"/>
      <c r="E332" s="5"/>
    </row>
    <row r="333" spans="1:5" x14ac:dyDescent="0.35">
      <c r="A333" s="1" t="s">
        <v>458</v>
      </c>
      <c r="B333" s="23"/>
      <c r="C333" s="23"/>
      <c r="D333" s="19"/>
      <c r="E333" s="5"/>
    </row>
    <row r="334" spans="1:5" x14ac:dyDescent="0.35">
      <c r="A334" s="1" t="s">
        <v>459</v>
      </c>
      <c r="B334" s="23"/>
      <c r="C334" s="23"/>
      <c r="D334" s="19"/>
      <c r="E334" s="5"/>
    </row>
    <row r="335" spans="1:5" x14ac:dyDescent="0.35">
      <c r="A335" s="1" t="s">
        <v>460</v>
      </c>
      <c r="B335" s="23"/>
      <c r="C335" s="23"/>
      <c r="D335" s="19"/>
      <c r="E335" s="5"/>
    </row>
    <row r="336" spans="1:5" x14ac:dyDescent="0.35">
      <c r="A336" s="1" t="s">
        <v>461</v>
      </c>
      <c r="B336" s="23"/>
      <c r="C336" s="23"/>
      <c r="D336" s="19"/>
      <c r="E336" s="5"/>
    </row>
    <row r="337" spans="1:5" x14ac:dyDescent="0.35">
      <c r="A337" s="1" t="s">
        <v>462</v>
      </c>
      <c r="B337" s="23"/>
      <c r="C337" s="23"/>
      <c r="D337" s="19"/>
      <c r="E337" s="5"/>
    </row>
    <row r="338" spans="1:5" x14ac:dyDescent="0.35">
      <c r="A338" s="1" t="s">
        <v>463</v>
      </c>
      <c r="B338" s="23"/>
      <c r="C338" s="23"/>
      <c r="D338" s="19"/>
      <c r="E338" s="5"/>
    </row>
    <row r="339" spans="1:5" x14ac:dyDescent="0.35">
      <c r="A339" s="1" t="s">
        <v>464</v>
      </c>
      <c r="B339" s="23"/>
      <c r="C339" s="23"/>
      <c r="D339" s="19"/>
      <c r="E339" s="5"/>
    </row>
    <row r="340" spans="1:5" x14ac:dyDescent="0.35">
      <c r="A340" s="1" t="s">
        <v>465</v>
      </c>
      <c r="B340" s="23"/>
      <c r="C340" s="23"/>
      <c r="D340" s="19"/>
      <c r="E340" s="5"/>
    </row>
    <row r="341" spans="1:5" x14ac:dyDescent="0.35">
      <c r="A341" s="1" t="s">
        <v>466</v>
      </c>
      <c r="B341" s="23"/>
      <c r="C341" s="23"/>
      <c r="D341" s="19"/>
      <c r="E341" s="5"/>
    </row>
    <row r="342" spans="1:5" x14ac:dyDescent="0.35">
      <c r="A342" s="1" t="s">
        <v>467</v>
      </c>
      <c r="B342" s="23"/>
      <c r="C342" s="23"/>
      <c r="D342" s="19"/>
      <c r="E342" s="5"/>
    </row>
    <row r="343" spans="1:5" x14ac:dyDescent="0.35">
      <c r="A343" s="1" t="s">
        <v>468</v>
      </c>
      <c r="B343" s="23"/>
      <c r="C343" s="23"/>
      <c r="D343" s="19"/>
      <c r="E343" s="5"/>
    </row>
    <row r="344" spans="1:5" x14ac:dyDescent="0.35">
      <c r="A344" s="1" t="s">
        <v>469</v>
      </c>
      <c r="B344" s="23"/>
      <c r="C344" s="23"/>
      <c r="D344" s="19"/>
      <c r="E344" s="5"/>
    </row>
    <row r="345" spans="1:5" x14ac:dyDescent="0.35">
      <c r="A345" s="1" t="s">
        <v>470</v>
      </c>
      <c r="B345" s="23"/>
      <c r="C345" s="23"/>
      <c r="D345" s="19"/>
      <c r="E345" s="5"/>
    </row>
    <row r="346" spans="1:5" x14ac:dyDescent="0.35">
      <c r="A346" s="12" t="s">
        <v>471</v>
      </c>
      <c r="B346" s="21">
        <f>SUM(B316:B345)</f>
        <v>0</v>
      </c>
      <c r="C346" s="21">
        <f>SUM(C316:C345)</f>
        <v>0</v>
      </c>
      <c r="D346" s="20"/>
      <c r="E346" s="24"/>
    </row>
    <row r="347" spans="1:5" x14ac:dyDescent="0.35">
      <c r="A347" s="1" t="s">
        <v>472</v>
      </c>
      <c r="B347" s="23"/>
      <c r="C347" s="23"/>
      <c r="D347" s="19"/>
      <c r="E347" s="5"/>
    </row>
    <row r="348" spans="1:5" x14ac:dyDescent="0.35">
      <c r="A348" s="1" t="s">
        <v>473</v>
      </c>
      <c r="B348" s="23"/>
      <c r="C348" s="23"/>
      <c r="D348" s="19"/>
      <c r="E348" s="5"/>
    </row>
    <row r="349" spans="1:5" x14ac:dyDescent="0.35">
      <c r="A349" s="1" t="s">
        <v>474</v>
      </c>
      <c r="B349" s="23"/>
      <c r="C349" s="23"/>
      <c r="D349" s="19"/>
      <c r="E349" s="5"/>
    </row>
    <row r="350" spans="1:5" x14ac:dyDescent="0.35">
      <c r="A350" s="1" t="s">
        <v>475</v>
      </c>
      <c r="B350" s="23"/>
      <c r="C350" s="23"/>
      <c r="D350" s="19"/>
      <c r="E350" s="5"/>
    </row>
    <row r="351" spans="1:5" x14ac:dyDescent="0.35">
      <c r="A351" s="1" t="s">
        <v>476</v>
      </c>
      <c r="B351" s="23"/>
      <c r="C351" s="23"/>
      <c r="D351" s="19"/>
      <c r="E351" s="5"/>
    </row>
    <row r="352" spans="1:5" x14ac:dyDescent="0.35">
      <c r="A352" s="1" t="s">
        <v>477</v>
      </c>
      <c r="B352" s="23"/>
      <c r="C352" s="23"/>
      <c r="D352" s="19"/>
      <c r="E352" s="5"/>
    </row>
    <row r="353" spans="1:5" x14ac:dyDescent="0.35">
      <c r="A353" s="1" t="s">
        <v>478</v>
      </c>
      <c r="B353" s="23"/>
      <c r="C353" s="23"/>
      <c r="D353" s="19"/>
      <c r="E353" s="5"/>
    </row>
    <row r="354" spans="1:5" x14ac:dyDescent="0.35">
      <c r="A354" s="1" t="s">
        <v>479</v>
      </c>
      <c r="B354" s="23"/>
      <c r="C354" s="23"/>
      <c r="D354" s="19"/>
      <c r="E354" s="5"/>
    </row>
    <row r="355" spans="1:5" x14ac:dyDescent="0.35">
      <c r="A355" s="1" t="s">
        <v>480</v>
      </c>
      <c r="B355" s="23"/>
      <c r="C355" s="23"/>
      <c r="D355" s="19"/>
      <c r="E355" s="5"/>
    </row>
    <row r="356" spans="1:5" x14ac:dyDescent="0.35">
      <c r="A356" s="1" t="s">
        <v>481</v>
      </c>
      <c r="B356" s="23"/>
      <c r="C356" s="23"/>
      <c r="D356" s="19"/>
      <c r="E356" s="5"/>
    </row>
    <row r="357" spans="1:5" x14ac:dyDescent="0.35">
      <c r="A357" s="1" t="s">
        <v>482</v>
      </c>
      <c r="B357" s="23"/>
      <c r="C357" s="23"/>
      <c r="D357" s="19"/>
      <c r="E357" s="5"/>
    </row>
    <row r="358" spans="1:5" x14ac:dyDescent="0.35">
      <c r="A358" s="1" t="s">
        <v>483</v>
      </c>
      <c r="B358" s="23"/>
      <c r="C358" s="23"/>
      <c r="D358" s="19"/>
      <c r="E358" s="5"/>
    </row>
    <row r="359" spans="1:5" x14ac:dyDescent="0.35">
      <c r="A359" s="1" t="s">
        <v>484</v>
      </c>
      <c r="B359" s="23"/>
      <c r="C359" s="23"/>
      <c r="D359" s="19"/>
      <c r="E359" s="5"/>
    </row>
    <row r="360" spans="1:5" x14ac:dyDescent="0.35">
      <c r="A360" s="1" t="s">
        <v>485</v>
      </c>
      <c r="B360" s="23"/>
      <c r="C360" s="23"/>
      <c r="D360" s="19"/>
      <c r="E360" s="5"/>
    </row>
    <row r="361" spans="1:5" x14ac:dyDescent="0.35">
      <c r="A361" s="1" t="s">
        <v>486</v>
      </c>
      <c r="B361" s="23"/>
      <c r="C361" s="23"/>
      <c r="D361" s="19"/>
      <c r="E361" s="5"/>
    </row>
    <row r="362" spans="1:5" x14ac:dyDescent="0.35">
      <c r="A362" s="1" t="s">
        <v>487</v>
      </c>
      <c r="B362" s="23"/>
      <c r="C362" s="23"/>
      <c r="D362" s="19"/>
      <c r="E362" s="5"/>
    </row>
    <row r="363" spans="1:5" x14ac:dyDescent="0.35">
      <c r="A363" s="1" t="s">
        <v>488</v>
      </c>
      <c r="B363" s="23"/>
      <c r="C363" s="23"/>
      <c r="D363" s="19"/>
      <c r="E363" s="5"/>
    </row>
    <row r="364" spans="1:5" x14ac:dyDescent="0.35">
      <c r="A364" s="1" t="s">
        <v>489</v>
      </c>
      <c r="B364" s="23"/>
      <c r="C364" s="23"/>
      <c r="D364" s="19"/>
      <c r="E364" s="5"/>
    </row>
    <row r="365" spans="1:5" x14ac:dyDescent="0.35">
      <c r="A365" s="1" t="s">
        <v>490</v>
      </c>
      <c r="B365" s="23"/>
      <c r="C365" s="23"/>
      <c r="D365" s="19"/>
      <c r="E365" s="5"/>
    </row>
    <row r="366" spans="1:5" x14ac:dyDescent="0.35">
      <c r="A366" s="1" t="s">
        <v>491</v>
      </c>
      <c r="B366" s="23"/>
      <c r="C366" s="23"/>
      <c r="D366" s="19"/>
      <c r="E366" s="5"/>
    </row>
    <row r="367" spans="1:5" x14ac:dyDescent="0.35">
      <c r="A367" s="1" t="s">
        <v>492</v>
      </c>
      <c r="B367" s="23"/>
      <c r="C367" s="23"/>
      <c r="D367" s="19"/>
      <c r="E367" s="5"/>
    </row>
    <row r="368" spans="1:5" x14ac:dyDescent="0.35">
      <c r="A368" s="1" t="s">
        <v>493</v>
      </c>
      <c r="B368" s="23"/>
      <c r="C368" s="23"/>
      <c r="D368" s="19"/>
      <c r="E368" s="5"/>
    </row>
    <row r="369" spans="1:5" x14ac:dyDescent="0.35">
      <c r="A369" s="1" t="s">
        <v>494</v>
      </c>
      <c r="B369" s="23"/>
      <c r="C369" s="23"/>
      <c r="D369" s="19"/>
      <c r="E369" s="5"/>
    </row>
    <row r="370" spans="1:5" x14ac:dyDescent="0.35">
      <c r="A370" s="1" t="s">
        <v>495</v>
      </c>
      <c r="B370" s="23"/>
      <c r="C370" s="23"/>
      <c r="D370" s="19"/>
      <c r="E370" s="5"/>
    </row>
    <row r="371" spans="1:5" x14ac:dyDescent="0.35">
      <c r="A371" s="1" t="s">
        <v>496</v>
      </c>
      <c r="B371" s="23"/>
      <c r="C371" s="23"/>
      <c r="D371" s="19"/>
      <c r="E371" s="5"/>
    </row>
    <row r="372" spans="1:5" x14ac:dyDescent="0.35">
      <c r="A372" s="1" t="s">
        <v>497</v>
      </c>
      <c r="B372" s="23"/>
      <c r="C372" s="23"/>
      <c r="D372" s="19"/>
      <c r="E372" s="5"/>
    </row>
    <row r="373" spans="1:5" x14ac:dyDescent="0.35">
      <c r="A373" s="1" t="s">
        <v>498</v>
      </c>
      <c r="B373" s="23"/>
      <c r="C373" s="23"/>
      <c r="D373" s="19"/>
      <c r="E373" s="5"/>
    </row>
    <row r="374" spans="1:5" x14ac:dyDescent="0.35">
      <c r="A374" s="1" t="s">
        <v>499</v>
      </c>
      <c r="B374" s="23"/>
      <c r="C374" s="23"/>
      <c r="D374" s="19"/>
      <c r="E374" s="5"/>
    </row>
    <row r="375" spans="1:5" x14ac:dyDescent="0.35">
      <c r="A375" s="1" t="s">
        <v>500</v>
      </c>
      <c r="B375" s="23"/>
      <c r="C375" s="23"/>
      <c r="D375" s="19"/>
      <c r="E375" s="5"/>
    </row>
    <row r="376" spans="1:5" x14ac:dyDescent="0.35">
      <c r="A376" s="1" t="s">
        <v>501</v>
      </c>
      <c r="B376" s="23"/>
      <c r="C376" s="23"/>
      <c r="D376" s="19"/>
      <c r="E376" s="5"/>
    </row>
    <row r="377" spans="1:5" x14ac:dyDescent="0.35">
      <c r="A377" s="1" t="s">
        <v>502</v>
      </c>
      <c r="B377" s="23"/>
      <c r="C377" s="23"/>
      <c r="D377" s="19"/>
      <c r="E377" s="5"/>
    </row>
    <row r="378" spans="1:5" x14ac:dyDescent="0.35">
      <c r="A378" s="12" t="s">
        <v>503</v>
      </c>
      <c r="B378" s="21"/>
      <c r="C378" s="21"/>
      <c r="D378" s="20"/>
      <c r="E378" s="24"/>
    </row>
    <row r="379" spans="1:5" x14ac:dyDescent="0.35">
      <c r="A379" s="1"/>
      <c r="B379" s="23"/>
      <c r="C379" s="23"/>
      <c r="D379" s="19"/>
      <c r="E379" s="5"/>
    </row>
    <row r="380" spans="1:5" x14ac:dyDescent="0.35">
      <c r="A380" s="1"/>
      <c r="B380" s="23"/>
      <c r="C380" s="23"/>
      <c r="D380" s="19"/>
      <c r="E380" s="5"/>
    </row>
    <row r="381" spans="1:5" x14ac:dyDescent="0.35">
      <c r="A381" s="1"/>
      <c r="B381" s="23"/>
      <c r="C381" s="23"/>
      <c r="D381" s="19"/>
      <c r="E381" s="5"/>
    </row>
    <row r="382" spans="1:5" x14ac:dyDescent="0.35">
      <c r="A382" s="1"/>
      <c r="B382" s="23"/>
      <c r="C382" s="23"/>
      <c r="D382" s="19"/>
      <c r="E382" s="5"/>
    </row>
    <row r="383" spans="1:5" x14ac:dyDescent="0.35">
      <c r="A383" s="1"/>
      <c r="B383" s="23"/>
      <c r="C383" s="23"/>
      <c r="D383" s="19"/>
      <c r="E383" s="5"/>
    </row>
    <row r="384" spans="1:5" x14ac:dyDescent="0.35">
      <c r="A384" s="1"/>
      <c r="B384" s="23"/>
      <c r="C384" s="23"/>
      <c r="D384" s="19"/>
      <c r="E384" s="5"/>
    </row>
    <row r="385" spans="1:5" x14ac:dyDescent="0.35">
      <c r="A385" s="1"/>
      <c r="B385" s="23"/>
      <c r="C385" s="23"/>
      <c r="D385" s="19"/>
      <c r="E385" s="5"/>
    </row>
    <row r="386" spans="1:5" x14ac:dyDescent="0.35">
      <c r="A386" s="1"/>
      <c r="B386" s="23"/>
      <c r="C386" s="23"/>
      <c r="D386" s="19"/>
      <c r="E386" s="5"/>
    </row>
    <row r="387" spans="1:5" x14ac:dyDescent="0.35">
      <c r="A387" s="1"/>
      <c r="B387" s="23"/>
      <c r="C387" s="23"/>
      <c r="D387" s="19"/>
      <c r="E387" s="5"/>
    </row>
    <row r="388" spans="1:5" x14ac:dyDescent="0.35">
      <c r="A388" s="1"/>
      <c r="B388" s="23"/>
      <c r="C388" s="23"/>
      <c r="D388" s="19"/>
      <c r="E388" s="5"/>
    </row>
    <row r="389" spans="1:5" x14ac:dyDescent="0.35">
      <c r="A389" s="1"/>
      <c r="B389" s="23"/>
      <c r="C389" s="23"/>
      <c r="D389" s="19"/>
      <c r="E389" s="5"/>
    </row>
    <row r="390" spans="1:5" x14ac:dyDescent="0.35">
      <c r="A390" s="1"/>
      <c r="B390" s="19"/>
      <c r="C390" s="19"/>
      <c r="D390" s="19"/>
      <c r="E390" s="5"/>
    </row>
    <row r="391" spans="1:5" x14ac:dyDescent="0.35">
      <c r="A391" s="1"/>
      <c r="B391" s="19"/>
      <c r="C391" s="19"/>
      <c r="D391" s="19"/>
      <c r="E391" s="5"/>
    </row>
    <row r="392" spans="1:5" x14ac:dyDescent="0.35">
      <c r="A392" s="1"/>
      <c r="B392" s="19"/>
      <c r="C392" s="19"/>
      <c r="D392" s="19"/>
      <c r="E392" s="5"/>
    </row>
    <row r="393" spans="1:5" x14ac:dyDescent="0.35">
      <c r="A393" s="1"/>
      <c r="B393" s="19"/>
      <c r="C393" s="19"/>
      <c r="D393" s="19"/>
      <c r="E393" s="5"/>
    </row>
    <row r="394" spans="1:5" x14ac:dyDescent="0.35">
      <c r="A394" s="1"/>
      <c r="B394" s="19"/>
      <c r="C394" s="19"/>
      <c r="D394" s="19"/>
      <c r="E394" s="5"/>
    </row>
    <row r="395" spans="1:5" x14ac:dyDescent="0.35">
      <c r="A395" s="1"/>
      <c r="B395" s="19"/>
      <c r="C395" s="19"/>
      <c r="D395" s="19"/>
      <c r="E395" s="5"/>
    </row>
    <row r="396" spans="1:5" x14ac:dyDescent="0.35">
      <c r="A396" s="1"/>
      <c r="B396" s="19"/>
      <c r="C396" s="19"/>
      <c r="D396" s="19"/>
      <c r="E396" s="5"/>
    </row>
    <row r="397" spans="1:5" x14ac:dyDescent="0.35">
      <c r="A397" s="1"/>
      <c r="B397" s="19"/>
      <c r="C397" s="19"/>
      <c r="D397" s="19"/>
      <c r="E397" s="5"/>
    </row>
    <row r="398" spans="1:5" x14ac:dyDescent="0.35">
      <c r="A398" s="1"/>
      <c r="B398" s="19"/>
      <c r="C398" s="19"/>
      <c r="D398" s="19"/>
      <c r="E398" s="5"/>
    </row>
    <row r="399" spans="1:5" x14ac:dyDescent="0.35">
      <c r="A399" s="1"/>
      <c r="B399" s="19"/>
      <c r="C399" s="19"/>
      <c r="D399" s="19"/>
      <c r="E399" s="5"/>
    </row>
    <row r="400" spans="1:5" x14ac:dyDescent="0.35">
      <c r="A400" s="1"/>
      <c r="B400" s="19"/>
      <c r="C400" s="19"/>
      <c r="D400" s="19"/>
      <c r="E400" s="5"/>
    </row>
    <row r="401" spans="1:5" x14ac:dyDescent="0.35">
      <c r="A401" s="1"/>
      <c r="B401" s="19"/>
      <c r="C401" s="19"/>
      <c r="D401" s="19"/>
      <c r="E401" s="5"/>
    </row>
    <row r="402" spans="1:5" x14ac:dyDescent="0.35">
      <c r="A402" s="1"/>
      <c r="B402" s="19"/>
      <c r="C402" s="19"/>
      <c r="D402" s="19"/>
      <c r="E402" s="5"/>
    </row>
    <row r="403" spans="1:5" x14ac:dyDescent="0.35">
      <c r="A403" s="1"/>
      <c r="B403" s="19"/>
      <c r="C403" s="19"/>
      <c r="D403" s="19"/>
      <c r="E403" s="5"/>
    </row>
    <row r="404" spans="1:5" x14ac:dyDescent="0.35">
      <c r="A404" s="1"/>
      <c r="B404" s="19"/>
      <c r="C404" s="19"/>
      <c r="D404" s="19"/>
      <c r="E404" s="5"/>
    </row>
    <row r="405" spans="1:5" x14ac:dyDescent="0.35">
      <c r="A405" s="1"/>
      <c r="B405" s="19"/>
      <c r="C405" s="19"/>
      <c r="D405" s="19"/>
      <c r="E405" s="5"/>
    </row>
    <row r="406" spans="1:5" x14ac:dyDescent="0.35">
      <c r="A406" s="1"/>
      <c r="B406" s="19"/>
      <c r="C406" s="19"/>
      <c r="D406" s="19"/>
      <c r="E406" s="5"/>
    </row>
    <row r="407" spans="1:5" x14ac:dyDescent="0.35">
      <c r="A407" s="1"/>
      <c r="B407" s="19"/>
      <c r="C407" s="19"/>
      <c r="D407" s="19"/>
      <c r="E407" s="5"/>
    </row>
    <row r="408" spans="1:5" x14ac:dyDescent="0.35">
      <c r="A408" s="1"/>
      <c r="B408" s="19"/>
      <c r="C408" s="19"/>
      <c r="D408" s="19"/>
      <c r="E408" s="5"/>
    </row>
    <row r="409" spans="1:5" x14ac:dyDescent="0.35">
      <c r="A409" s="1"/>
      <c r="B409" s="19"/>
      <c r="C409" s="19"/>
      <c r="D409" s="19"/>
      <c r="E409" s="5"/>
    </row>
    <row r="410" spans="1:5" x14ac:dyDescent="0.35">
      <c r="A410" s="1"/>
      <c r="B410" s="19"/>
      <c r="C410" s="19"/>
      <c r="D410" s="19"/>
      <c r="E410" s="5"/>
    </row>
    <row r="411" spans="1:5" x14ac:dyDescent="0.35">
      <c r="A411" s="1"/>
      <c r="B411" s="19"/>
      <c r="C411" s="19"/>
      <c r="D411" s="19"/>
      <c r="E411" s="5"/>
    </row>
    <row r="412" spans="1:5" x14ac:dyDescent="0.35">
      <c r="A412" s="1"/>
      <c r="B412" s="19"/>
      <c r="C412" s="19"/>
      <c r="D412" s="19"/>
      <c r="E412" s="5"/>
    </row>
    <row r="413" spans="1:5" x14ac:dyDescent="0.35">
      <c r="A413" s="1"/>
      <c r="B413" s="19"/>
      <c r="C413" s="19"/>
      <c r="D413" s="19"/>
      <c r="E413" s="5"/>
    </row>
    <row r="414" spans="1:5" x14ac:dyDescent="0.35">
      <c r="A414" s="1"/>
      <c r="B414" s="19"/>
      <c r="C414" s="19"/>
      <c r="D414" s="19"/>
      <c r="E414" s="5"/>
    </row>
    <row r="415" spans="1:5" x14ac:dyDescent="0.35">
      <c r="A415" s="1"/>
      <c r="B415" s="19"/>
      <c r="C415" s="19"/>
      <c r="D415" s="19"/>
      <c r="E415" s="5"/>
    </row>
    <row r="416" spans="1:5" x14ac:dyDescent="0.35">
      <c r="A416" s="1"/>
      <c r="B416" s="19"/>
      <c r="C416" s="19"/>
      <c r="D416" s="19"/>
      <c r="E416" s="5"/>
    </row>
    <row r="417" spans="1:5" x14ac:dyDescent="0.35">
      <c r="A417" s="1"/>
      <c r="B417" s="19"/>
      <c r="C417" s="19"/>
      <c r="D417" s="19"/>
      <c r="E417" s="5"/>
    </row>
    <row r="418" spans="1:5" x14ac:dyDescent="0.35">
      <c r="A418" s="1"/>
      <c r="B418" s="19"/>
      <c r="C418" s="19"/>
      <c r="D418" s="19"/>
      <c r="E418" s="5"/>
    </row>
    <row r="419" spans="1:5" x14ac:dyDescent="0.35">
      <c r="A419" s="1"/>
      <c r="B419" s="19"/>
      <c r="C419" s="19"/>
      <c r="D419" s="19"/>
      <c r="E419" s="5"/>
    </row>
    <row r="420" spans="1:5" x14ac:dyDescent="0.35">
      <c r="A420" s="1"/>
      <c r="B420" s="19"/>
      <c r="C420" s="19"/>
      <c r="D420" s="19"/>
      <c r="E420" s="5"/>
    </row>
    <row r="421" spans="1:5" x14ac:dyDescent="0.35">
      <c r="A421" s="1"/>
      <c r="B421" s="19"/>
      <c r="C421" s="19"/>
      <c r="D421" s="19"/>
      <c r="E421" s="5"/>
    </row>
    <row r="422" spans="1:5" x14ac:dyDescent="0.35">
      <c r="A422" s="1"/>
      <c r="B422" s="19"/>
      <c r="C422" s="19"/>
      <c r="D422" s="19"/>
      <c r="E422" s="5"/>
    </row>
    <row r="423" spans="1:5" x14ac:dyDescent="0.35">
      <c r="A423" s="1"/>
      <c r="B423" s="19"/>
      <c r="C423" s="19"/>
      <c r="D423" s="19"/>
      <c r="E423" s="5"/>
    </row>
    <row r="424" spans="1:5" x14ac:dyDescent="0.35">
      <c r="A424" s="1"/>
      <c r="B424" s="19"/>
      <c r="C424" s="19"/>
      <c r="D424" s="19"/>
      <c r="E424" s="5"/>
    </row>
    <row r="425" spans="1:5" x14ac:dyDescent="0.35">
      <c r="A425" s="1"/>
      <c r="B425" s="19"/>
      <c r="C425" s="19"/>
      <c r="D425" s="19"/>
      <c r="E425" s="5"/>
    </row>
    <row r="426" spans="1:5" x14ac:dyDescent="0.35">
      <c r="A426" s="1"/>
      <c r="B426" s="19"/>
      <c r="C426" s="19"/>
      <c r="D426" s="19"/>
      <c r="E426" s="5"/>
    </row>
    <row r="427" spans="1:5" x14ac:dyDescent="0.35">
      <c r="A427" s="1"/>
      <c r="B427" s="19"/>
      <c r="C427" s="19"/>
      <c r="D427" s="19"/>
      <c r="E427" s="5"/>
    </row>
    <row r="428" spans="1:5" x14ac:dyDescent="0.35">
      <c r="A428" s="1"/>
      <c r="B428" s="19"/>
      <c r="C428" s="19"/>
      <c r="D428" s="19"/>
      <c r="E428" s="5"/>
    </row>
    <row r="429" spans="1:5" x14ac:dyDescent="0.35">
      <c r="A429" s="1"/>
      <c r="B429" s="19"/>
      <c r="C429" s="19"/>
      <c r="D429" s="19"/>
      <c r="E429" s="5"/>
    </row>
    <row r="430" spans="1:5" x14ac:dyDescent="0.35">
      <c r="A430" s="1"/>
      <c r="B430" s="19"/>
      <c r="C430" s="19"/>
      <c r="D430" s="19"/>
      <c r="E430" s="5"/>
    </row>
    <row r="431" spans="1:5" x14ac:dyDescent="0.35">
      <c r="A431" s="1"/>
      <c r="B431" s="19"/>
      <c r="C431" s="19"/>
      <c r="D431" s="19"/>
      <c r="E431" s="5"/>
    </row>
    <row r="432" spans="1:5" x14ac:dyDescent="0.35">
      <c r="A432" s="1"/>
      <c r="B432" s="19"/>
      <c r="C432" s="19"/>
      <c r="D432" s="19"/>
      <c r="E432" s="5"/>
    </row>
    <row r="433" spans="1:5" x14ac:dyDescent="0.35">
      <c r="A433" s="1"/>
      <c r="B433" s="19"/>
      <c r="C433" s="19"/>
      <c r="D433" s="19"/>
      <c r="E433" s="5"/>
    </row>
    <row r="434" spans="1:5" x14ac:dyDescent="0.35">
      <c r="A434" s="1"/>
      <c r="B434" s="19"/>
      <c r="C434" s="19"/>
      <c r="D434" s="19"/>
      <c r="E434" s="5"/>
    </row>
    <row r="1048576" spans="1:1" x14ac:dyDescent="0.35">
      <c r="A1048576" s="1"/>
    </row>
  </sheetData>
  <pageMargins left="0.7" right="0.7" top="0.75" bottom="0.75" header="0.3" footer="0.3"/>
  <ignoredErrors>
    <ignoredError sqref="D8 D12 D72 B75 B97 D109 B118 B122 D43 D144 B146:B147 B15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BAA9-0925-1147-A329-047771412B4E}">
  <dimension ref="A1:B21"/>
  <sheetViews>
    <sheetView workbookViewId="0">
      <selection activeCell="B21" sqref="B21"/>
    </sheetView>
  </sheetViews>
  <sheetFormatPr baseColWidth="10" defaultRowHeight="16" x14ac:dyDescent="0.2"/>
  <cols>
    <col min="1" max="1" width="16" bestFit="1" customWidth="1"/>
  </cols>
  <sheetData>
    <row r="1" spans="1:2" x14ac:dyDescent="0.2">
      <c r="A1" t="s">
        <v>509</v>
      </c>
      <c r="B1">
        <v>500000</v>
      </c>
    </row>
    <row r="2" spans="1:2" x14ac:dyDescent="0.2">
      <c r="A2" t="s">
        <v>510</v>
      </c>
      <c r="B2">
        <v>100000</v>
      </c>
    </row>
    <row r="3" spans="1:2" x14ac:dyDescent="0.2">
      <c r="A3" t="s">
        <v>511</v>
      </c>
      <c r="B3">
        <v>20000</v>
      </c>
    </row>
    <row r="4" spans="1:2" x14ac:dyDescent="0.2">
      <c r="A4" t="s">
        <v>513</v>
      </c>
      <c r="B4">
        <v>100000</v>
      </c>
    </row>
    <row r="5" spans="1:2" x14ac:dyDescent="0.2">
      <c r="A5" t="s">
        <v>514</v>
      </c>
      <c r="B5">
        <v>50000</v>
      </c>
    </row>
    <row r="6" spans="1:2" x14ac:dyDescent="0.2">
      <c r="A6" t="s">
        <v>515</v>
      </c>
      <c r="B6">
        <v>100000</v>
      </c>
    </row>
    <row r="7" spans="1:2" x14ac:dyDescent="0.2">
      <c r="A7" t="s">
        <v>516</v>
      </c>
      <c r="B7">
        <v>50000</v>
      </c>
    </row>
    <row r="8" spans="1:2" x14ac:dyDescent="0.2">
      <c r="A8" t="s">
        <v>517</v>
      </c>
      <c r="B8">
        <v>50000</v>
      </c>
    </row>
    <row r="9" spans="1:2" x14ac:dyDescent="0.2">
      <c r="A9" t="s">
        <v>518</v>
      </c>
      <c r="B9">
        <v>50000</v>
      </c>
    </row>
    <row r="10" spans="1:2" x14ac:dyDescent="0.2">
      <c r="A10" t="s">
        <v>519</v>
      </c>
      <c r="B10">
        <v>100000</v>
      </c>
    </row>
    <row r="11" spans="1:2" x14ac:dyDescent="0.2">
      <c r="A11" t="s">
        <v>520</v>
      </c>
      <c r="B11">
        <v>50000</v>
      </c>
    </row>
    <row r="12" spans="1:2" x14ac:dyDescent="0.2">
      <c r="A12" t="s">
        <v>521</v>
      </c>
      <c r="B12">
        <v>50000</v>
      </c>
    </row>
    <row r="13" spans="1:2" x14ac:dyDescent="0.2">
      <c r="A13" t="s">
        <v>522</v>
      </c>
      <c r="B13">
        <v>50000</v>
      </c>
    </row>
    <row r="14" spans="1:2" x14ac:dyDescent="0.2">
      <c r="A14" t="s">
        <v>523</v>
      </c>
      <c r="B14">
        <v>50000</v>
      </c>
    </row>
    <row r="15" spans="1:2" x14ac:dyDescent="0.2">
      <c r="A15" t="s">
        <v>526</v>
      </c>
      <c r="B15">
        <v>100000</v>
      </c>
    </row>
    <row r="16" spans="1:2" x14ac:dyDescent="0.2">
      <c r="A16" t="s">
        <v>527</v>
      </c>
      <c r="B16">
        <v>100000</v>
      </c>
    </row>
    <row r="17" spans="1:2" x14ac:dyDescent="0.2">
      <c r="A17" t="s">
        <v>528</v>
      </c>
      <c r="B17">
        <v>100000</v>
      </c>
    </row>
    <row r="18" spans="1:2" x14ac:dyDescent="0.2">
      <c r="A18" t="s">
        <v>529</v>
      </c>
      <c r="B18">
        <v>50000</v>
      </c>
    </row>
    <row r="19" spans="1:2" x14ac:dyDescent="0.2">
      <c r="A19" t="s">
        <v>530</v>
      </c>
      <c r="B19">
        <v>50000</v>
      </c>
    </row>
    <row r="20" spans="1:2" x14ac:dyDescent="0.2">
      <c r="A20" t="s">
        <v>532</v>
      </c>
      <c r="B20">
        <v>100000</v>
      </c>
    </row>
    <row r="21" spans="1:2" x14ac:dyDescent="0.2">
      <c r="B21">
        <f>SUM(B1:B20)</f>
        <v>1820000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Năm 2020</vt:lpstr>
      <vt:lpstr>Năm 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2020-10-07T14:17:37Z</dcterms:created>
  <dcterms:modified xsi:type="dcterms:W3CDTF">2021-06-21T13:55:13Z</dcterms:modified>
</cp:coreProperties>
</file>