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Z:\Controls\CIS-RAM\CIS RAM 2.0\Final Releases\2nd Release\IG1 Edits\"/>
    </mc:Choice>
  </mc:AlternateContent>
  <xr:revisionPtr revIDLastSave="0" documentId="8_{19ADD618-9341-4F66-AB58-F1F6B1F9BAA4}" xr6:coauthVersionLast="36" xr6:coauthVersionMax="36" xr10:uidLastSave="{00000000-0000-0000-0000-000000000000}"/>
  <bookViews>
    <workbookView xWindow="0" yWindow="0" windowWidth="20880" windowHeight="11430" tabRatio="846" xr2:uid="{5FB309F1-118B-4514-8FE1-25A01A609E8C}"/>
  </bookViews>
  <sheets>
    <sheet name="Cover" sheetId="19" r:id="rId1"/>
    <sheet name="CIS Controls Resources" sheetId="20" r:id="rId2"/>
    <sheet name="Risk Register Controls v7.1-IG1" sheetId="3" r:id="rId3"/>
    <sheet name="Risk Register Controls v8 - IG1" sheetId="8" r:id="rId4"/>
    <sheet name="Legend" sheetId="10" r:id="rId5"/>
    <sheet name="Lookup Tables" sheetId="6" r:id="rId6"/>
    <sheet name="CIS CSAT Pro" sheetId="15" r:id="rId7"/>
    <sheet name="CIS-Hosted CSAT" sheetId="14" r:id="rId8"/>
    <sheet name="Risk Register 7.1 - EXAMPLE" sheetId="11" r:id="rId9"/>
    <sheet name="CIS CSAT Pro - EXAMPLE" sheetId="13" r:id="rId10"/>
    <sheet name="CIS-Hosted CSAT - EXAMPLE" sheetId="18" r:id="rId11"/>
  </sheets>
  <externalReferences>
    <externalReference r:id="rId12"/>
    <externalReference r:id="rId13"/>
  </externalReferences>
  <definedNames>
    <definedName name="_Hlk82606169" localSheetId="6">'CIS CSAT Pro'!$L$16</definedName>
    <definedName name="Asset_Class" localSheetId="8">tblImpactIndex21[Asset Class]</definedName>
    <definedName name="Asset_Class" localSheetId="2">tblImpactIndex[Asset Class]</definedName>
    <definedName name="Asset_Class" localSheetId="3">tblImpactIndex17[Asset Class]</definedName>
    <definedName name="Industry" localSheetId="1">[1]!tblVCDBIndex[Asset Class]</definedName>
    <definedName name="Industry" localSheetId="6">[2]!tblVCDBIndex[Asset Class]</definedName>
    <definedName name="Industry" localSheetId="9">[2]!tblVCDBIndex[Asset Class]</definedName>
    <definedName name="Industry" localSheetId="7">[2]!tblVCDBIndex[Asset Class]</definedName>
    <definedName name="Industry" localSheetId="10">[2]!tblVCDBIndex[Asset Class]</definedName>
    <definedName name="Industry" localSheetId="0">[1]!tblVCDBIndex[Asset Class]</definedName>
    <definedName name="Industry" localSheetId="8">tblVCDBIndex[Asset Class]</definedName>
    <definedName name="Industry" localSheetId="3">tblVCDBIndex[Asset Class]</definedName>
    <definedName name="Industry">tblVCDBIndex[Asset Class]</definedName>
    <definedName name="Industry_2" localSheetId="1">[1]!tblVCDBIndex[Asset Class]</definedName>
    <definedName name="Industry_2" localSheetId="6">tblVCDBIndex[Asset Class]</definedName>
    <definedName name="Industry_2" localSheetId="10">tblVCDBIndex[Asset Class]</definedName>
    <definedName name="Industry_2" localSheetId="0">[1]!tblVCDBIndex[Asset Class]</definedName>
    <definedName name="Industry_2">tblVCDBIndex[Asset Class]</definedName>
    <definedName name="Maturity_Score" localSheetId="1">[1]!tblMaturityScores[Maturity Scores]</definedName>
    <definedName name="Maturity_Score" localSheetId="6">[2]!tblMaturityScores[Maturity Score]</definedName>
    <definedName name="Maturity_Score" localSheetId="9">[2]!tblMaturityScores[Maturity Score]</definedName>
    <definedName name="Maturity_Score" localSheetId="7">[2]!tblMaturityScores[Maturity Score]</definedName>
    <definedName name="Maturity_Score" localSheetId="10">[2]!tblMaturityScores[Maturity Score]</definedName>
    <definedName name="Maturity_Score" localSheetId="0">[1]!tblMaturityScores[Maturity Scores]</definedName>
    <definedName name="Maturity_Score" localSheetId="8">tblMaturityScores[Maturity Scores]</definedName>
    <definedName name="Maturity_Score" localSheetId="3">tblMaturityScores[Maturity Scores]</definedName>
    <definedName name="Maturity_Score">tblMaturityScores[Maturity Scores]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 i="15" l="1"/>
  <c r="E11" i="15" l="1"/>
  <c r="D9" i="15" l="1"/>
  <c r="G14" i="18" l="1"/>
  <c r="I57" i="13" l="1"/>
  <c r="J57" i="13" s="1"/>
  <c r="I56" i="13"/>
  <c r="J56" i="13" s="1"/>
  <c r="I55" i="13"/>
  <c r="J55" i="13" s="1"/>
  <c r="I54" i="13"/>
  <c r="J54" i="13" s="1"/>
  <c r="V69" i="18"/>
  <c r="U69" i="18"/>
  <c r="T69" i="18"/>
  <c r="S69" i="18"/>
  <c r="V68" i="18"/>
  <c r="U68" i="18"/>
  <c r="T68" i="18"/>
  <c r="S68" i="18"/>
  <c r="V67" i="18"/>
  <c r="U67" i="18"/>
  <c r="T67" i="18"/>
  <c r="S67" i="18"/>
  <c r="V66" i="18"/>
  <c r="U66" i="18"/>
  <c r="T66" i="18"/>
  <c r="S66" i="18"/>
  <c r="V65" i="18"/>
  <c r="U65" i="18"/>
  <c r="T65" i="18"/>
  <c r="S65" i="18"/>
  <c r="V64" i="18"/>
  <c r="U64" i="18"/>
  <c r="T64" i="18"/>
  <c r="S64" i="18"/>
  <c r="V63" i="18"/>
  <c r="U63" i="18"/>
  <c r="T63" i="18"/>
  <c r="S63" i="18"/>
  <c r="V62" i="18"/>
  <c r="U62" i="18"/>
  <c r="T62" i="18"/>
  <c r="S62" i="18"/>
  <c r="V61" i="18"/>
  <c r="U61" i="18"/>
  <c r="T61" i="18"/>
  <c r="S61" i="18"/>
  <c r="V60" i="18"/>
  <c r="U60" i="18"/>
  <c r="T60" i="18"/>
  <c r="S60" i="18"/>
  <c r="V59" i="18"/>
  <c r="U59" i="18"/>
  <c r="T59" i="18"/>
  <c r="S59" i="18"/>
  <c r="V58" i="18"/>
  <c r="U58" i="18"/>
  <c r="T58" i="18"/>
  <c r="S58" i="18"/>
  <c r="W58" i="18" s="1"/>
  <c r="V57" i="18"/>
  <c r="U57" i="18"/>
  <c r="T57" i="18"/>
  <c r="S57" i="18"/>
  <c r="V56" i="18"/>
  <c r="U56" i="18"/>
  <c r="T56" i="18"/>
  <c r="S56" i="18"/>
  <c r="J56" i="18"/>
  <c r="I56" i="18"/>
  <c r="H56" i="18"/>
  <c r="G56" i="18"/>
  <c r="V55" i="18"/>
  <c r="U55" i="18"/>
  <c r="T55" i="18"/>
  <c r="S55" i="18"/>
  <c r="J55" i="18"/>
  <c r="I55" i="18"/>
  <c r="H55" i="18"/>
  <c r="G55" i="18"/>
  <c r="V54" i="18"/>
  <c r="U54" i="18"/>
  <c r="T54" i="18"/>
  <c r="S54" i="18"/>
  <c r="W54" i="18" s="1"/>
  <c r="J54" i="18"/>
  <c r="I54" i="18"/>
  <c r="H54" i="18"/>
  <c r="G54" i="18"/>
  <c r="V53" i="18"/>
  <c r="U53" i="18"/>
  <c r="T53" i="18"/>
  <c r="S53" i="18"/>
  <c r="J53" i="18"/>
  <c r="I53" i="18"/>
  <c r="H53" i="18"/>
  <c r="G53" i="18"/>
  <c r="K53" i="18" s="1"/>
  <c r="V52" i="18"/>
  <c r="U52" i="18"/>
  <c r="T52" i="18"/>
  <c r="S52" i="18"/>
  <c r="J52" i="18"/>
  <c r="I52" i="18"/>
  <c r="H52" i="18"/>
  <c r="G52" i="18"/>
  <c r="V51" i="18"/>
  <c r="U51" i="18"/>
  <c r="T51" i="18"/>
  <c r="S51" i="18"/>
  <c r="W51" i="18" s="1"/>
  <c r="J51" i="18"/>
  <c r="I51" i="18"/>
  <c r="H51" i="18"/>
  <c r="G51" i="18"/>
  <c r="V50" i="18"/>
  <c r="U50" i="18"/>
  <c r="T50" i="18"/>
  <c r="S50" i="18"/>
  <c r="J50" i="18"/>
  <c r="I50" i="18"/>
  <c r="H50" i="18"/>
  <c r="G50" i="18"/>
  <c r="K50" i="18" s="1"/>
  <c r="V49" i="18"/>
  <c r="U49" i="18"/>
  <c r="T49" i="18"/>
  <c r="S49" i="18"/>
  <c r="J49" i="18"/>
  <c r="I49" i="18"/>
  <c r="H49" i="18"/>
  <c r="G49" i="18"/>
  <c r="V48" i="18"/>
  <c r="U48" i="18"/>
  <c r="T48" i="18"/>
  <c r="S48" i="18"/>
  <c r="W48" i="18" s="1"/>
  <c r="J48" i="18"/>
  <c r="I48" i="18"/>
  <c r="H48" i="18"/>
  <c r="G48" i="18"/>
  <c r="V47" i="18"/>
  <c r="U47" i="18"/>
  <c r="T47" i="18"/>
  <c r="S47" i="18"/>
  <c r="J47" i="18"/>
  <c r="I47" i="18"/>
  <c r="H47" i="18"/>
  <c r="G47" i="18"/>
  <c r="V46" i="18"/>
  <c r="U46" i="18"/>
  <c r="T46" i="18"/>
  <c r="S46" i="18"/>
  <c r="J46" i="18"/>
  <c r="I46" i="18"/>
  <c r="H46" i="18"/>
  <c r="G46" i="18"/>
  <c r="V45" i="18"/>
  <c r="U45" i="18"/>
  <c r="T45" i="18"/>
  <c r="S45" i="18"/>
  <c r="W45" i="18" s="1"/>
  <c r="J45" i="18"/>
  <c r="I45" i="18"/>
  <c r="H45" i="18"/>
  <c r="G45" i="18"/>
  <c r="V44" i="18"/>
  <c r="U44" i="18"/>
  <c r="T44" i="18"/>
  <c r="S44" i="18"/>
  <c r="J44" i="18"/>
  <c r="I44" i="18"/>
  <c r="H44" i="18"/>
  <c r="G44" i="18"/>
  <c r="V43" i="18"/>
  <c r="U43" i="18"/>
  <c r="T43" i="18"/>
  <c r="S43" i="18"/>
  <c r="J43" i="18"/>
  <c r="I43" i="18"/>
  <c r="H43" i="18"/>
  <c r="G43" i="18"/>
  <c r="V42" i="18"/>
  <c r="U42" i="18"/>
  <c r="T42" i="18"/>
  <c r="S42" i="18"/>
  <c r="W42" i="18" s="1"/>
  <c r="J42" i="18"/>
  <c r="I42" i="18"/>
  <c r="H42" i="18"/>
  <c r="G42" i="18"/>
  <c r="V41" i="18"/>
  <c r="U41" i="18"/>
  <c r="T41" i="18"/>
  <c r="S41" i="18"/>
  <c r="J41" i="18"/>
  <c r="I41" i="18"/>
  <c r="H41" i="18"/>
  <c r="G41" i="18"/>
  <c r="K41" i="18" s="1"/>
  <c r="V40" i="18"/>
  <c r="U40" i="18"/>
  <c r="T40" i="18"/>
  <c r="S40" i="18"/>
  <c r="J40" i="18"/>
  <c r="I40" i="18"/>
  <c r="H40" i="18"/>
  <c r="G40" i="18"/>
  <c r="V39" i="18"/>
  <c r="U39" i="18"/>
  <c r="T39" i="18"/>
  <c r="S39" i="18"/>
  <c r="W39" i="18" s="1"/>
  <c r="J39" i="18"/>
  <c r="I39" i="18"/>
  <c r="H39" i="18"/>
  <c r="G39" i="18"/>
  <c r="V38" i="18"/>
  <c r="U38" i="18"/>
  <c r="T38" i="18"/>
  <c r="S38" i="18"/>
  <c r="J38" i="18"/>
  <c r="I38" i="18"/>
  <c r="H38" i="18"/>
  <c r="G38" i="18"/>
  <c r="K38" i="18" s="1"/>
  <c r="V37" i="18"/>
  <c r="U37" i="18"/>
  <c r="T37" i="18"/>
  <c r="S37" i="18"/>
  <c r="J37" i="18"/>
  <c r="I37" i="18"/>
  <c r="H37" i="18"/>
  <c r="G37" i="18"/>
  <c r="V36" i="18"/>
  <c r="U36" i="18"/>
  <c r="T36" i="18"/>
  <c r="S36" i="18"/>
  <c r="W36" i="18" s="1"/>
  <c r="J36" i="18"/>
  <c r="I36" i="18"/>
  <c r="H36" i="18"/>
  <c r="G36" i="18"/>
  <c r="V35" i="18"/>
  <c r="U35" i="18"/>
  <c r="T35" i="18"/>
  <c r="S35" i="18"/>
  <c r="J35" i="18"/>
  <c r="I35" i="18"/>
  <c r="H35" i="18"/>
  <c r="G35" i="18"/>
  <c r="K35" i="18" s="1"/>
  <c r="V34" i="18"/>
  <c r="U34" i="18"/>
  <c r="T34" i="18"/>
  <c r="S34" i="18"/>
  <c r="J34" i="18"/>
  <c r="I34" i="18"/>
  <c r="H34" i="18"/>
  <c r="G34" i="18"/>
  <c r="V33" i="18"/>
  <c r="U33" i="18"/>
  <c r="T33" i="18"/>
  <c r="S33" i="18"/>
  <c r="W33" i="18" s="1"/>
  <c r="J33" i="18"/>
  <c r="I33" i="18"/>
  <c r="H33" i="18"/>
  <c r="G33" i="18"/>
  <c r="V32" i="18"/>
  <c r="U32" i="18"/>
  <c r="T32" i="18"/>
  <c r="S32" i="18"/>
  <c r="J32" i="18"/>
  <c r="I32" i="18"/>
  <c r="H32" i="18"/>
  <c r="G32" i="18"/>
  <c r="V31" i="18"/>
  <c r="U31" i="18"/>
  <c r="T31" i="18"/>
  <c r="S31" i="18"/>
  <c r="J31" i="18"/>
  <c r="I31" i="18"/>
  <c r="H31" i="18"/>
  <c r="G31" i="18"/>
  <c r="V30" i="18"/>
  <c r="U30" i="18"/>
  <c r="T30" i="18"/>
  <c r="S30" i="18"/>
  <c r="W30" i="18" s="1"/>
  <c r="J30" i="18"/>
  <c r="I30" i="18"/>
  <c r="H30" i="18"/>
  <c r="G30" i="18"/>
  <c r="V29" i="18"/>
  <c r="U29" i="18"/>
  <c r="T29" i="18"/>
  <c r="S29" i="18"/>
  <c r="J29" i="18"/>
  <c r="I29" i="18"/>
  <c r="H29" i="18"/>
  <c r="G29" i="18"/>
  <c r="K29" i="18" s="1"/>
  <c r="V28" i="18"/>
  <c r="U28" i="18"/>
  <c r="T28" i="18"/>
  <c r="S28" i="18"/>
  <c r="J28" i="18"/>
  <c r="I28" i="18"/>
  <c r="H28" i="18"/>
  <c r="G28" i="18"/>
  <c r="V27" i="18"/>
  <c r="U27" i="18"/>
  <c r="T27" i="18"/>
  <c r="S27" i="18"/>
  <c r="W27" i="18" s="1"/>
  <c r="J27" i="18"/>
  <c r="I27" i="18"/>
  <c r="H27" i="18"/>
  <c r="G27" i="18"/>
  <c r="V26" i="18"/>
  <c r="U26" i="18"/>
  <c r="T26" i="18"/>
  <c r="S26" i="18"/>
  <c r="J26" i="18"/>
  <c r="I26" i="18"/>
  <c r="H26" i="18"/>
  <c r="G26" i="18"/>
  <c r="K26" i="18" s="1"/>
  <c r="V25" i="18"/>
  <c r="U25" i="18"/>
  <c r="T25" i="18"/>
  <c r="S25" i="18"/>
  <c r="J25" i="18"/>
  <c r="I25" i="18"/>
  <c r="H25" i="18"/>
  <c r="G25" i="18"/>
  <c r="V24" i="18"/>
  <c r="U24" i="18"/>
  <c r="T24" i="18"/>
  <c r="S24" i="18"/>
  <c r="W24" i="18" s="1"/>
  <c r="J24" i="18"/>
  <c r="I24" i="18"/>
  <c r="H24" i="18"/>
  <c r="G24" i="18"/>
  <c r="V23" i="18"/>
  <c r="U23" i="18"/>
  <c r="T23" i="18"/>
  <c r="S23" i="18"/>
  <c r="J23" i="18"/>
  <c r="I23" i="18"/>
  <c r="H23" i="18"/>
  <c r="G23" i="18"/>
  <c r="K23" i="18" s="1"/>
  <c r="V22" i="18"/>
  <c r="U22" i="18"/>
  <c r="T22" i="18"/>
  <c r="S22" i="18"/>
  <c r="J22" i="18"/>
  <c r="I22" i="18"/>
  <c r="H22" i="18"/>
  <c r="G22" i="18"/>
  <c r="V21" i="18"/>
  <c r="U21" i="18"/>
  <c r="T21" i="18"/>
  <c r="S21" i="18"/>
  <c r="W21" i="18" s="1"/>
  <c r="J21" i="18"/>
  <c r="I21" i="18"/>
  <c r="H21" i="18"/>
  <c r="G21" i="18"/>
  <c r="V20" i="18"/>
  <c r="U20" i="18"/>
  <c r="T20" i="18"/>
  <c r="S20" i="18"/>
  <c r="J20" i="18"/>
  <c r="I20" i="18"/>
  <c r="H20" i="18"/>
  <c r="G20" i="18"/>
  <c r="V19" i="18"/>
  <c r="U19" i="18"/>
  <c r="T19" i="18"/>
  <c r="S19" i="18"/>
  <c r="J19" i="18"/>
  <c r="I19" i="18"/>
  <c r="H19" i="18"/>
  <c r="G19" i="18"/>
  <c r="V18" i="18"/>
  <c r="U18" i="18"/>
  <c r="T18" i="18"/>
  <c r="S18" i="18"/>
  <c r="W18" i="18" s="1"/>
  <c r="J18" i="18"/>
  <c r="I18" i="18"/>
  <c r="H18" i="18"/>
  <c r="G18" i="18"/>
  <c r="V17" i="18"/>
  <c r="U17" i="18"/>
  <c r="T17" i="18"/>
  <c r="S17" i="18"/>
  <c r="J17" i="18"/>
  <c r="I17" i="18"/>
  <c r="H17" i="18"/>
  <c r="G17" i="18"/>
  <c r="K17" i="18" s="1"/>
  <c r="V16" i="18"/>
  <c r="U16" i="18"/>
  <c r="T16" i="18"/>
  <c r="S16" i="18"/>
  <c r="J16" i="18"/>
  <c r="I16" i="18"/>
  <c r="H16" i="18"/>
  <c r="G16" i="18"/>
  <c r="V15" i="18"/>
  <c r="U15" i="18"/>
  <c r="T15" i="18"/>
  <c r="S15" i="18"/>
  <c r="W15" i="18" s="1"/>
  <c r="J15" i="18"/>
  <c r="I15" i="18"/>
  <c r="H15" i="18"/>
  <c r="G15" i="18"/>
  <c r="V14" i="18"/>
  <c r="U14" i="18"/>
  <c r="T14" i="18"/>
  <c r="S14" i="18"/>
  <c r="J14" i="18"/>
  <c r="I14" i="18"/>
  <c r="H14" i="18"/>
  <c r="K14" i="18" s="1"/>
  <c r="W17" i="18" l="1"/>
  <c r="K22" i="18"/>
  <c r="K25" i="18"/>
  <c r="W29" i="18"/>
  <c r="X29" i="18" s="1"/>
  <c r="K34" i="18"/>
  <c r="L34" i="18" s="1"/>
  <c r="K37" i="18"/>
  <c r="K46" i="18"/>
  <c r="K49" i="18"/>
  <c r="W16" i="18"/>
  <c r="W19" i="18"/>
  <c r="X19" i="18" s="1"/>
  <c r="K24" i="18"/>
  <c r="L24" i="18" s="1"/>
  <c r="W25" i="18"/>
  <c r="W28" i="18"/>
  <c r="K30" i="18"/>
  <c r="W31" i="18"/>
  <c r="X31" i="18" s="1"/>
  <c r="K33" i="18"/>
  <c r="L33" i="18" s="1"/>
  <c r="W34" i="18"/>
  <c r="X34" i="18" s="1"/>
  <c r="K36" i="18"/>
  <c r="W37" i="18"/>
  <c r="W40" i="18"/>
  <c r="K42" i="18"/>
  <c r="L42" i="18" s="1"/>
  <c r="W43" i="18"/>
  <c r="K45" i="18"/>
  <c r="K48" i="18"/>
  <c r="W49" i="18"/>
  <c r="W52" i="18"/>
  <c r="K54" i="18"/>
  <c r="W55" i="18"/>
  <c r="X55" i="18" s="1"/>
  <c r="W57" i="18"/>
  <c r="X57" i="18" s="1"/>
  <c r="K18" i="18"/>
  <c r="W22" i="18"/>
  <c r="K21" i="18"/>
  <c r="W14" i="18"/>
  <c r="K16" i="18"/>
  <c r="K19" i="18"/>
  <c r="L19" i="18" s="1"/>
  <c r="W20" i="18"/>
  <c r="X20" i="18" s="1"/>
  <c r="W26" i="18"/>
  <c r="K28" i="18"/>
  <c r="K31" i="18"/>
  <c r="L31" i="18" s="1"/>
  <c r="W32" i="18"/>
  <c r="W38" i="18"/>
  <c r="K40" i="18"/>
  <c r="W41" i="18"/>
  <c r="K43" i="18"/>
  <c r="W44" i="18"/>
  <c r="X44" i="18" s="1"/>
  <c r="W47" i="18"/>
  <c r="X47" i="18" s="1"/>
  <c r="W50" i="18"/>
  <c r="X50" i="18" s="1"/>
  <c r="K52" i="18"/>
  <c r="W53" i="18"/>
  <c r="K55" i="18"/>
  <c r="W56" i="18"/>
  <c r="W59" i="18"/>
  <c r="X59" i="18" s="1"/>
  <c r="W62" i="18"/>
  <c r="X62" i="18" s="1"/>
  <c r="W65" i="18"/>
  <c r="W68" i="18"/>
  <c r="W46" i="18"/>
  <c r="X46" i="18" s="1"/>
  <c r="W60" i="18"/>
  <c r="X60" i="18" s="1"/>
  <c r="W63" i="18"/>
  <c r="X63" i="18" s="1"/>
  <c r="W66" i="18"/>
  <c r="X66" i="18" s="1"/>
  <c r="W69" i="18"/>
  <c r="X69" i="18" s="1"/>
  <c r="W64" i="18"/>
  <c r="W67" i="18"/>
  <c r="X67" i="18" s="1"/>
  <c r="X33" i="18"/>
  <c r="L41" i="18"/>
  <c r="L53" i="18"/>
  <c r="L29" i="18"/>
  <c r="L47" i="18"/>
  <c r="K47" i="18"/>
  <c r="X21" i="18"/>
  <c r="L35" i="18"/>
  <c r="L23" i="18"/>
  <c r="X45" i="18"/>
  <c r="X17" i="18"/>
  <c r="X26" i="18"/>
  <c r="X32" i="18"/>
  <c r="X38" i="18"/>
  <c r="X41" i="18"/>
  <c r="X53" i="18"/>
  <c r="X56" i="18"/>
  <c r="X68" i="18"/>
  <c r="K56" i="18"/>
  <c r="L56" i="18" s="1"/>
  <c r="K44" i="18"/>
  <c r="L44" i="18" s="1"/>
  <c r="K32" i="18"/>
  <c r="L32" i="18" s="1"/>
  <c r="K20" i="18"/>
  <c r="L20" i="18" s="1"/>
  <c r="W61" i="18"/>
  <c r="X61" i="18" s="1"/>
  <c r="X25" i="18"/>
  <c r="X37" i="18"/>
  <c r="X43" i="18"/>
  <c r="L45" i="18"/>
  <c r="X49" i="18"/>
  <c r="L21" i="18"/>
  <c r="K51" i="18"/>
  <c r="L51" i="18" s="1"/>
  <c r="K39" i="18"/>
  <c r="L39" i="18" s="1"/>
  <c r="K27" i="18"/>
  <c r="L27" i="18" s="1"/>
  <c r="K15" i="18"/>
  <c r="L15" i="18" s="1"/>
  <c r="W35" i="18"/>
  <c r="X35" i="18" s="1"/>
  <c r="W23" i="18"/>
  <c r="X23" i="18" s="1"/>
  <c r="X16" i="18"/>
  <c r="X22" i="18"/>
  <c r="X28" i="18"/>
  <c r="X40" i="18"/>
  <c r="X52" i="18"/>
  <c r="X18" i="18"/>
  <c r="X24" i="18"/>
  <c r="X30" i="18"/>
  <c r="X36" i="18"/>
  <c r="X39" i="18"/>
  <c r="X51" i="18"/>
  <c r="X54" i="18"/>
  <c r="X64" i="18"/>
  <c r="X15" i="18"/>
  <c r="X27" i="18"/>
  <c r="X42" i="18"/>
  <c r="X48" i="18"/>
  <c r="X58" i="18"/>
  <c r="X14" i="18"/>
  <c r="L26" i="18"/>
  <c r="L38" i="18"/>
  <c r="L50" i="18"/>
  <c r="L18" i="18"/>
  <c r="L30" i="18"/>
  <c r="L36" i="18"/>
  <c r="L48" i="18"/>
  <c r="L54" i="18"/>
  <c r="L17" i="18"/>
  <c r="L14" i="18"/>
  <c r="X65" i="18"/>
  <c r="L22" i="18"/>
  <c r="L25" i="18"/>
  <c r="L28" i="18"/>
  <c r="L37" i="18"/>
  <c r="L40" i="18"/>
  <c r="L43" i="18"/>
  <c r="L46" i="18"/>
  <c r="L49" i="18"/>
  <c r="L52" i="18"/>
  <c r="L55" i="18"/>
  <c r="L16" i="18"/>
  <c r="I60" i="15" l="1"/>
  <c r="J60" i="15" s="1"/>
  <c r="I59" i="15"/>
  <c r="J59" i="15" s="1"/>
  <c r="I58" i="15"/>
  <c r="J58" i="15" s="1"/>
  <c r="I57" i="15"/>
  <c r="J57" i="15" s="1"/>
  <c r="I56" i="15"/>
  <c r="J56" i="15" s="1"/>
  <c r="I55" i="15"/>
  <c r="J55" i="15" s="1"/>
  <c r="I54" i="15"/>
  <c r="J54" i="15" s="1"/>
  <c r="I53" i="15"/>
  <c r="J53" i="15" s="1"/>
  <c r="I52" i="15"/>
  <c r="J52" i="15" s="1"/>
  <c r="I51" i="15"/>
  <c r="J51" i="15" s="1"/>
  <c r="I50" i="15"/>
  <c r="J50" i="15" s="1"/>
  <c r="I49" i="15"/>
  <c r="J49" i="15" s="1"/>
  <c r="I48" i="15"/>
  <c r="J48" i="15" s="1"/>
  <c r="I47" i="15"/>
  <c r="J47" i="15" s="1"/>
  <c r="D47" i="15"/>
  <c r="E47" i="15" s="1"/>
  <c r="I46" i="15"/>
  <c r="J46" i="15" s="1"/>
  <c r="D46" i="15"/>
  <c r="E46" i="15" s="1"/>
  <c r="I45" i="15"/>
  <c r="J45" i="15" s="1"/>
  <c r="D45" i="15"/>
  <c r="E45" i="15" s="1"/>
  <c r="I44" i="15"/>
  <c r="J44" i="15" s="1"/>
  <c r="D44" i="15"/>
  <c r="E44" i="15" s="1"/>
  <c r="J43" i="15"/>
  <c r="I43" i="15"/>
  <c r="D43" i="15"/>
  <c r="E43" i="15" s="1"/>
  <c r="I42" i="15"/>
  <c r="J42" i="15" s="1"/>
  <c r="E42" i="15"/>
  <c r="D42" i="15"/>
  <c r="I41" i="15"/>
  <c r="J41" i="15" s="1"/>
  <c r="D41" i="15"/>
  <c r="E41" i="15" s="1"/>
  <c r="J40" i="15"/>
  <c r="I40" i="15"/>
  <c r="D40" i="15"/>
  <c r="E40" i="15" s="1"/>
  <c r="I39" i="15"/>
  <c r="J39" i="15" s="1"/>
  <c r="E39" i="15"/>
  <c r="D39" i="15"/>
  <c r="I38" i="15"/>
  <c r="J38" i="15" s="1"/>
  <c r="D38" i="15"/>
  <c r="E38" i="15" s="1"/>
  <c r="J37" i="15"/>
  <c r="I37" i="15"/>
  <c r="D37" i="15"/>
  <c r="E37" i="15" s="1"/>
  <c r="I36" i="15"/>
  <c r="J36" i="15" s="1"/>
  <c r="D36" i="15"/>
  <c r="E36" i="15" s="1"/>
  <c r="I35" i="15"/>
  <c r="J35" i="15" s="1"/>
  <c r="D35" i="15"/>
  <c r="E35" i="15" s="1"/>
  <c r="I34" i="15"/>
  <c r="J34" i="15" s="1"/>
  <c r="D34" i="15"/>
  <c r="E34" i="15" s="1"/>
  <c r="I33" i="15"/>
  <c r="J33" i="15" s="1"/>
  <c r="D33" i="15"/>
  <c r="E33" i="15" s="1"/>
  <c r="I32" i="15"/>
  <c r="J32" i="15" s="1"/>
  <c r="D32" i="15"/>
  <c r="E32" i="15" s="1"/>
  <c r="I31" i="15"/>
  <c r="J31" i="15" s="1"/>
  <c r="D31" i="15"/>
  <c r="E31" i="15" s="1"/>
  <c r="I30" i="15"/>
  <c r="J30" i="15" s="1"/>
  <c r="D30" i="15"/>
  <c r="E30" i="15" s="1"/>
  <c r="I29" i="15"/>
  <c r="J29" i="15" s="1"/>
  <c r="D29" i="15"/>
  <c r="E29" i="15" s="1"/>
  <c r="I28" i="15"/>
  <c r="J28" i="15" s="1"/>
  <c r="D28" i="15"/>
  <c r="E28" i="15" s="1"/>
  <c r="I27" i="15"/>
  <c r="J27" i="15" s="1"/>
  <c r="D27" i="15"/>
  <c r="E27" i="15" s="1"/>
  <c r="I26" i="15"/>
  <c r="J26" i="15" s="1"/>
  <c r="D26" i="15"/>
  <c r="E26" i="15" s="1"/>
  <c r="I25" i="15"/>
  <c r="J25" i="15" s="1"/>
  <c r="D25" i="15"/>
  <c r="E25" i="15" s="1"/>
  <c r="I24" i="15"/>
  <c r="J24" i="15" s="1"/>
  <c r="D24" i="15"/>
  <c r="E24" i="15" s="1"/>
  <c r="I23" i="15"/>
  <c r="J23" i="15" s="1"/>
  <c r="D23" i="15"/>
  <c r="E23" i="15" s="1"/>
  <c r="I22" i="15"/>
  <c r="J22" i="15" s="1"/>
  <c r="D22" i="15"/>
  <c r="E22" i="15" s="1"/>
  <c r="I21" i="15"/>
  <c r="J21" i="15" s="1"/>
  <c r="D21" i="15"/>
  <c r="E21" i="15" s="1"/>
  <c r="I20" i="15"/>
  <c r="J20" i="15" s="1"/>
  <c r="D20" i="15"/>
  <c r="E20" i="15" s="1"/>
  <c r="I19" i="15"/>
  <c r="J19" i="15" s="1"/>
  <c r="D19" i="15"/>
  <c r="E19" i="15" s="1"/>
  <c r="I18" i="15"/>
  <c r="J18" i="15" s="1"/>
  <c r="D18" i="15"/>
  <c r="E18" i="15" s="1"/>
  <c r="I17" i="15"/>
  <c r="J17" i="15" s="1"/>
  <c r="D17" i="15"/>
  <c r="E17" i="15" s="1"/>
  <c r="J16" i="15"/>
  <c r="I16" i="15"/>
  <c r="D16" i="15"/>
  <c r="E16" i="15" s="1"/>
  <c r="I15" i="15"/>
  <c r="J15" i="15" s="1"/>
  <c r="D15" i="15"/>
  <c r="E15" i="15" s="1"/>
  <c r="I14" i="15"/>
  <c r="J14" i="15" s="1"/>
  <c r="D14" i="15"/>
  <c r="E14" i="15" s="1"/>
  <c r="I13" i="15"/>
  <c r="J13" i="15" s="1"/>
  <c r="D13" i="15"/>
  <c r="E13" i="15" s="1"/>
  <c r="I12" i="15"/>
  <c r="J12" i="15" s="1"/>
  <c r="D12" i="15"/>
  <c r="E12" i="15" s="1"/>
  <c r="I11" i="15"/>
  <c r="J11" i="15" s="1"/>
  <c r="D11" i="15"/>
  <c r="I10" i="15"/>
  <c r="J10" i="15" s="1"/>
  <c r="D10" i="15"/>
  <c r="E10" i="15" s="1"/>
  <c r="I9" i="15"/>
  <c r="E9" i="15"/>
  <c r="I8" i="15"/>
  <c r="J8" i="15" s="1"/>
  <c r="D8" i="15"/>
  <c r="E8" i="15" s="1"/>
  <c r="J7" i="15"/>
  <c r="I7" i="15"/>
  <c r="D7" i="15"/>
  <c r="E7" i="15" s="1"/>
  <c r="I6" i="15"/>
  <c r="J6" i="15" s="1"/>
  <c r="D6" i="15"/>
  <c r="E6" i="15" s="1"/>
  <c r="I5" i="15"/>
  <c r="J5" i="15" s="1"/>
  <c r="D5" i="15"/>
  <c r="E5" i="15" s="1"/>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14" i="14"/>
  <c r="U15" i="14"/>
  <c r="U16" i="14"/>
  <c r="U17" i="14"/>
  <c r="U18" i="14"/>
  <c r="U19" i="14"/>
  <c r="U20" i="14"/>
  <c r="U21" i="14"/>
  <c r="U22" i="14"/>
  <c r="U23" i="14"/>
  <c r="U24" i="14"/>
  <c r="U25" i="14"/>
  <c r="U26" i="14"/>
  <c r="U27" i="14"/>
  <c r="U28" i="14"/>
  <c r="U29" i="14"/>
  <c r="U30" i="14"/>
  <c r="U31" i="14"/>
  <c r="U32" i="14"/>
  <c r="U33" i="14"/>
  <c r="U34" i="14"/>
  <c r="U35" i="14"/>
  <c r="U36" i="14"/>
  <c r="U37" i="14"/>
  <c r="U38" i="14"/>
  <c r="U39" i="14"/>
  <c r="U40" i="14"/>
  <c r="U41" i="14"/>
  <c r="U42" i="14"/>
  <c r="U43" i="14"/>
  <c r="U44" i="14"/>
  <c r="U45" i="14"/>
  <c r="U46" i="14"/>
  <c r="U47" i="14"/>
  <c r="U48" i="14"/>
  <c r="U49" i="14"/>
  <c r="U50" i="14"/>
  <c r="U51" i="14"/>
  <c r="U52" i="14"/>
  <c r="U53" i="14"/>
  <c r="U54" i="14"/>
  <c r="U55" i="14"/>
  <c r="U56" i="14"/>
  <c r="U57" i="14"/>
  <c r="U58" i="14"/>
  <c r="U59" i="14"/>
  <c r="U60" i="14"/>
  <c r="U61" i="14"/>
  <c r="U62" i="14"/>
  <c r="U63" i="14"/>
  <c r="U64" i="14"/>
  <c r="U65" i="14"/>
  <c r="U66" i="14"/>
  <c r="U67" i="14"/>
  <c r="U68" i="14"/>
  <c r="U69" i="14"/>
  <c r="U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14" i="14"/>
  <c r="S15" i="14"/>
  <c r="W15" i="14" s="1"/>
  <c r="X15" i="14" s="1"/>
  <c r="S16" i="14"/>
  <c r="W16" i="14" s="1"/>
  <c r="X16" i="14" s="1"/>
  <c r="S17" i="14"/>
  <c r="W17" i="14" s="1"/>
  <c r="X17" i="14" s="1"/>
  <c r="S18" i="14"/>
  <c r="W18" i="14" s="1"/>
  <c r="X18" i="14" s="1"/>
  <c r="S19" i="14"/>
  <c r="W19" i="14" s="1"/>
  <c r="X19" i="14" s="1"/>
  <c r="S20" i="14"/>
  <c r="W20" i="14" s="1"/>
  <c r="X20" i="14" s="1"/>
  <c r="S21" i="14"/>
  <c r="W21" i="14" s="1"/>
  <c r="X21" i="14" s="1"/>
  <c r="S22" i="14"/>
  <c r="W22" i="14" s="1"/>
  <c r="X22" i="14" s="1"/>
  <c r="S23" i="14"/>
  <c r="W23" i="14" s="1"/>
  <c r="X23" i="14" s="1"/>
  <c r="S24" i="14"/>
  <c r="W24" i="14" s="1"/>
  <c r="X24" i="14" s="1"/>
  <c r="S25" i="14"/>
  <c r="W25" i="14" s="1"/>
  <c r="X25" i="14" s="1"/>
  <c r="S26" i="14"/>
  <c r="W26" i="14" s="1"/>
  <c r="X26" i="14" s="1"/>
  <c r="S27" i="14"/>
  <c r="W27" i="14" s="1"/>
  <c r="X27" i="14" s="1"/>
  <c r="S28" i="14"/>
  <c r="W28" i="14" s="1"/>
  <c r="X28" i="14" s="1"/>
  <c r="S29" i="14"/>
  <c r="W29" i="14" s="1"/>
  <c r="X29" i="14" s="1"/>
  <c r="S30" i="14"/>
  <c r="W30" i="14" s="1"/>
  <c r="X30" i="14" s="1"/>
  <c r="S31" i="14"/>
  <c r="W31" i="14" s="1"/>
  <c r="X31" i="14" s="1"/>
  <c r="S32" i="14"/>
  <c r="W32" i="14" s="1"/>
  <c r="X32" i="14" s="1"/>
  <c r="S33" i="14"/>
  <c r="W33" i="14" s="1"/>
  <c r="X33" i="14" s="1"/>
  <c r="S34" i="14"/>
  <c r="W34" i="14" s="1"/>
  <c r="X34" i="14" s="1"/>
  <c r="S35" i="14"/>
  <c r="W35" i="14" s="1"/>
  <c r="X35" i="14" s="1"/>
  <c r="S36" i="14"/>
  <c r="W36" i="14" s="1"/>
  <c r="X36" i="14" s="1"/>
  <c r="S37" i="14"/>
  <c r="W37" i="14" s="1"/>
  <c r="X37" i="14" s="1"/>
  <c r="S38" i="14"/>
  <c r="W38" i="14" s="1"/>
  <c r="X38" i="14" s="1"/>
  <c r="S39" i="14"/>
  <c r="W39" i="14" s="1"/>
  <c r="X39" i="14" s="1"/>
  <c r="S40" i="14"/>
  <c r="W40" i="14" s="1"/>
  <c r="X40" i="14" s="1"/>
  <c r="S41" i="14"/>
  <c r="W41" i="14" s="1"/>
  <c r="X41" i="14" s="1"/>
  <c r="S42" i="14"/>
  <c r="W42" i="14" s="1"/>
  <c r="X42" i="14" s="1"/>
  <c r="S43" i="14"/>
  <c r="W43" i="14" s="1"/>
  <c r="X43" i="14" s="1"/>
  <c r="S44" i="14"/>
  <c r="W44" i="14" s="1"/>
  <c r="X44" i="14" s="1"/>
  <c r="S45" i="14"/>
  <c r="W45" i="14" s="1"/>
  <c r="X45" i="14" s="1"/>
  <c r="S46" i="14"/>
  <c r="W46" i="14" s="1"/>
  <c r="X46" i="14" s="1"/>
  <c r="S47" i="14"/>
  <c r="W47" i="14" s="1"/>
  <c r="X47" i="14" s="1"/>
  <c r="S48" i="14"/>
  <c r="W48" i="14" s="1"/>
  <c r="X48" i="14" s="1"/>
  <c r="S49" i="14"/>
  <c r="W49" i="14" s="1"/>
  <c r="X49" i="14" s="1"/>
  <c r="S50" i="14"/>
  <c r="W50" i="14" s="1"/>
  <c r="X50" i="14" s="1"/>
  <c r="S51" i="14"/>
  <c r="W51" i="14" s="1"/>
  <c r="X51" i="14" s="1"/>
  <c r="S52" i="14"/>
  <c r="W52" i="14" s="1"/>
  <c r="X52" i="14" s="1"/>
  <c r="S53" i="14"/>
  <c r="W53" i="14" s="1"/>
  <c r="X53" i="14" s="1"/>
  <c r="S54" i="14"/>
  <c r="W54" i="14" s="1"/>
  <c r="X54" i="14" s="1"/>
  <c r="S55" i="14"/>
  <c r="W55" i="14" s="1"/>
  <c r="X55" i="14" s="1"/>
  <c r="S56" i="14"/>
  <c r="W56" i="14" s="1"/>
  <c r="X56" i="14" s="1"/>
  <c r="S57" i="14"/>
  <c r="W57" i="14" s="1"/>
  <c r="X57" i="14" s="1"/>
  <c r="S58" i="14"/>
  <c r="W58" i="14" s="1"/>
  <c r="X58" i="14" s="1"/>
  <c r="S59" i="14"/>
  <c r="W59" i="14" s="1"/>
  <c r="X59" i="14" s="1"/>
  <c r="S60" i="14"/>
  <c r="W60" i="14" s="1"/>
  <c r="X60" i="14" s="1"/>
  <c r="S61" i="14"/>
  <c r="W61" i="14" s="1"/>
  <c r="X61" i="14" s="1"/>
  <c r="S62" i="14"/>
  <c r="W62" i="14" s="1"/>
  <c r="X62" i="14" s="1"/>
  <c r="S63" i="14"/>
  <c r="W63" i="14" s="1"/>
  <c r="X63" i="14" s="1"/>
  <c r="S64" i="14"/>
  <c r="W64" i="14" s="1"/>
  <c r="X64" i="14" s="1"/>
  <c r="S65" i="14"/>
  <c r="W65" i="14" s="1"/>
  <c r="X65" i="14" s="1"/>
  <c r="S66" i="14"/>
  <c r="W66" i="14" s="1"/>
  <c r="X66" i="14" s="1"/>
  <c r="S67" i="14"/>
  <c r="W67" i="14" s="1"/>
  <c r="X67" i="14" s="1"/>
  <c r="S68" i="14"/>
  <c r="W68" i="14" s="1"/>
  <c r="X68" i="14" s="1"/>
  <c r="S69" i="14"/>
  <c r="W69" i="14" s="1"/>
  <c r="X69" i="14" s="1"/>
  <c r="S14" i="14"/>
  <c r="W14" i="14" s="1"/>
  <c r="X14" i="14" s="1"/>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14" i="14"/>
  <c r="G15" i="14"/>
  <c r="K15" i="14" s="1"/>
  <c r="L15" i="14" s="1"/>
  <c r="G16" i="14"/>
  <c r="K16" i="14" s="1"/>
  <c r="L16" i="14" s="1"/>
  <c r="G17" i="14"/>
  <c r="K17" i="14" s="1"/>
  <c r="L17" i="14" s="1"/>
  <c r="G18" i="14"/>
  <c r="K18" i="14" s="1"/>
  <c r="L18" i="14" s="1"/>
  <c r="G19" i="14"/>
  <c r="K19" i="14" s="1"/>
  <c r="L19" i="14" s="1"/>
  <c r="G20" i="14"/>
  <c r="K20" i="14" s="1"/>
  <c r="L20" i="14" s="1"/>
  <c r="G21" i="14"/>
  <c r="K21" i="14" s="1"/>
  <c r="L21" i="14" s="1"/>
  <c r="G22" i="14"/>
  <c r="K22" i="14" s="1"/>
  <c r="L22" i="14" s="1"/>
  <c r="G23" i="14"/>
  <c r="K23" i="14" s="1"/>
  <c r="L23" i="14" s="1"/>
  <c r="G24" i="14"/>
  <c r="K24" i="14" s="1"/>
  <c r="L24" i="14" s="1"/>
  <c r="G25" i="14"/>
  <c r="K25" i="14" s="1"/>
  <c r="L25" i="14" s="1"/>
  <c r="G26" i="14"/>
  <c r="K26" i="14" s="1"/>
  <c r="L26" i="14" s="1"/>
  <c r="G27" i="14"/>
  <c r="K27" i="14" s="1"/>
  <c r="L27" i="14" s="1"/>
  <c r="G28" i="14"/>
  <c r="K28" i="14" s="1"/>
  <c r="L28" i="14" s="1"/>
  <c r="G29" i="14"/>
  <c r="K29" i="14" s="1"/>
  <c r="L29" i="14" s="1"/>
  <c r="G30" i="14"/>
  <c r="K30" i="14" s="1"/>
  <c r="L30" i="14" s="1"/>
  <c r="G31" i="14"/>
  <c r="K31" i="14" s="1"/>
  <c r="L31" i="14" s="1"/>
  <c r="G32" i="14"/>
  <c r="K32" i="14" s="1"/>
  <c r="L32" i="14" s="1"/>
  <c r="G33" i="14"/>
  <c r="K33" i="14" s="1"/>
  <c r="L33" i="14" s="1"/>
  <c r="G34" i="14"/>
  <c r="K34" i="14" s="1"/>
  <c r="L34" i="14" s="1"/>
  <c r="G35" i="14"/>
  <c r="K35" i="14" s="1"/>
  <c r="L35" i="14" s="1"/>
  <c r="G36" i="14"/>
  <c r="K36" i="14" s="1"/>
  <c r="L36" i="14" s="1"/>
  <c r="G37" i="14"/>
  <c r="K37" i="14" s="1"/>
  <c r="L37" i="14" s="1"/>
  <c r="G38" i="14"/>
  <c r="K38" i="14" s="1"/>
  <c r="L38" i="14" s="1"/>
  <c r="G39" i="14"/>
  <c r="K39" i="14" s="1"/>
  <c r="L39" i="14" s="1"/>
  <c r="G40" i="14"/>
  <c r="K40" i="14" s="1"/>
  <c r="L40" i="14" s="1"/>
  <c r="G41" i="14"/>
  <c r="K41" i="14" s="1"/>
  <c r="L41" i="14" s="1"/>
  <c r="G42" i="14"/>
  <c r="K42" i="14" s="1"/>
  <c r="L42" i="14" s="1"/>
  <c r="G43" i="14"/>
  <c r="K43" i="14" s="1"/>
  <c r="L43" i="14" s="1"/>
  <c r="G44" i="14"/>
  <c r="K44" i="14" s="1"/>
  <c r="L44" i="14" s="1"/>
  <c r="G45" i="14"/>
  <c r="K45" i="14" s="1"/>
  <c r="L45" i="14" s="1"/>
  <c r="G46" i="14"/>
  <c r="K46" i="14" s="1"/>
  <c r="L46" i="14" s="1"/>
  <c r="G47" i="14"/>
  <c r="K47" i="14" s="1"/>
  <c r="L47" i="14" s="1"/>
  <c r="G48" i="14"/>
  <c r="K48" i="14" s="1"/>
  <c r="L48" i="14" s="1"/>
  <c r="G49" i="14"/>
  <c r="K49" i="14" s="1"/>
  <c r="L49" i="14" s="1"/>
  <c r="G50" i="14"/>
  <c r="K50" i="14" s="1"/>
  <c r="L50" i="14" s="1"/>
  <c r="G51" i="14"/>
  <c r="K51" i="14" s="1"/>
  <c r="L51" i="14" s="1"/>
  <c r="G52" i="14"/>
  <c r="K52" i="14" s="1"/>
  <c r="L52" i="14" s="1"/>
  <c r="G53" i="14"/>
  <c r="K53" i="14" s="1"/>
  <c r="L53" i="14" s="1"/>
  <c r="G54" i="14"/>
  <c r="K54" i="14" s="1"/>
  <c r="L54" i="14" s="1"/>
  <c r="G55" i="14"/>
  <c r="K55" i="14" s="1"/>
  <c r="L55" i="14" s="1"/>
  <c r="G56" i="14"/>
  <c r="K56" i="14" s="1"/>
  <c r="L56" i="14" s="1"/>
  <c r="G14" i="14"/>
  <c r="K14" i="14" s="1"/>
  <c r="L14" i="14" s="1"/>
  <c r="I60" i="13" l="1"/>
  <c r="J60" i="13" s="1"/>
  <c r="I59" i="13"/>
  <c r="J59" i="13" s="1"/>
  <c r="I58" i="13"/>
  <c r="J58" i="13" s="1"/>
  <c r="I53" i="13"/>
  <c r="J53" i="13" s="1"/>
  <c r="I52" i="13"/>
  <c r="J52" i="13" s="1"/>
  <c r="I51" i="13"/>
  <c r="J51" i="13" s="1"/>
  <c r="I50" i="13"/>
  <c r="J50" i="13" s="1"/>
  <c r="I49" i="13"/>
  <c r="J49" i="13" s="1"/>
  <c r="I48" i="13"/>
  <c r="J48" i="13" s="1"/>
  <c r="I47" i="13"/>
  <c r="J47" i="13" s="1"/>
  <c r="D47" i="13"/>
  <c r="E47" i="13" s="1"/>
  <c r="I46" i="13"/>
  <c r="J46" i="13" s="1"/>
  <c r="D46" i="13"/>
  <c r="E46" i="13" s="1"/>
  <c r="I45" i="13"/>
  <c r="J45" i="13" s="1"/>
  <c r="D45" i="13"/>
  <c r="E45" i="13" s="1"/>
  <c r="I44" i="13"/>
  <c r="J44" i="13" s="1"/>
  <c r="D44" i="13"/>
  <c r="E44" i="13" s="1"/>
  <c r="I43" i="13"/>
  <c r="J43" i="13" s="1"/>
  <c r="D43" i="13"/>
  <c r="E43" i="13" s="1"/>
  <c r="I42" i="13"/>
  <c r="J42" i="13" s="1"/>
  <c r="D42" i="13"/>
  <c r="E42" i="13" s="1"/>
  <c r="I41" i="13"/>
  <c r="J41" i="13" s="1"/>
  <c r="D41" i="13"/>
  <c r="E41" i="13" s="1"/>
  <c r="I40" i="13"/>
  <c r="J40" i="13" s="1"/>
  <c r="D40" i="13"/>
  <c r="E40" i="13" s="1"/>
  <c r="I39" i="13"/>
  <c r="J39" i="13" s="1"/>
  <c r="D39" i="13"/>
  <c r="E39" i="13" s="1"/>
  <c r="I38" i="13"/>
  <c r="J38" i="13" s="1"/>
  <c r="D38" i="13"/>
  <c r="E38" i="13" s="1"/>
  <c r="I37" i="13"/>
  <c r="J37" i="13" s="1"/>
  <c r="D37" i="13"/>
  <c r="E37" i="13" s="1"/>
  <c r="I36" i="13"/>
  <c r="J36" i="13" s="1"/>
  <c r="D36" i="13"/>
  <c r="E36" i="13" s="1"/>
  <c r="I35" i="13"/>
  <c r="J35" i="13" s="1"/>
  <c r="D35" i="13"/>
  <c r="E35" i="13" s="1"/>
  <c r="I34" i="13"/>
  <c r="J34" i="13" s="1"/>
  <c r="D34" i="13"/>
  <c r="E34" i="13" s="1"/>
  <c r="I33" i="13"/>
  <c r="J33" i="13" s="1"/>
  <c r="D33" i="13"/>
  <c r="E33" i="13" s="1"/>
  <c r="I32" i="13"/>
  <c r="J32" i="13" s="1"/>
  <c r="D32" i="13"/>
  <c r="E32" i="13" s="1"/>
  <c r="I31" i="13"/>
  <c r="J31" i="13" s="1"/>
  <c r="D31" i="13"/>
  <c r="E31" i="13" s="1"/>
  <c r="I30" i="13"/>
  <c r="J30" i="13" s="1"/>
  <c r="D30" i="13"/>
  <c r="E30" i="13" s="1"/>
  <c r="I29" i="13"/>
  <c r="J29" i="13" s="1"/>
  <c r="D29" i="13"/>
  <c r="E29" i="13" s="1"/>
  <c r="I28" i="13"/>
  <c r="J28" i="13" s="1"/>
  <c r="D28" i="13"/>
  <c r="E28" i="13" s="1"/>
  <c r="I27" i="13"/>
  <c r="J27" i="13" s="1"/>
  <c r="D27" i="13"/>
  <c r="E27" i="13" s="1"/>
  <c r="I26" i="13"/>
  <c r="J26" i="13" s="1"/>
  <c r="D26" i="13"/>
  <c r="E26" i="13" s="1"/>
  <c r="I25" i="13"/>
  <c r="J25" i="13" s="1"/>
  <c r="D25" i="13"/>
  <c r="E25" i="13" s="1"/>
  <c r="I24" i="13"/>
  <c r="J24" i="13" s="1"/>
  <c r="D24" i="13"/>
  <c r="E24" i="13" s="1"/>
  <c r="I23" i="13"/>
  <c r="J23" i="13" s="1"/>
  <c r="D23" i="13"/>
  <c r="E23" i="13" s="1"/>
  <c r="I22" i="13"/>
  <c r="J22" i="13" s="1"/>
  <c r="D22" i="13"/>
  <c r="E22" i="13" s="1"/>
  <c r="I21" i="13"/>
  <c r="J21" i="13" s="1"/>
  <c r="D21" i="13"/>
  <c r="E21" i="13" s="1"/>
  <c r="I20" i="13"/>
  <c r="J20" i="13" s="1"/>
  <c r="D20" i="13"/>
  <c r="E20" i="13" s="1"/>
  <c r="I19" i="13"/>
  <c r="J19" i="13" s="1"/>
  <c r="D19" i="13"/>
  <c r="E19" i="13" s="1"/>
  <c r="I18" i="13"/>
  <c r="J18" i="13" s="1"/>
  <c r="D18" i="13"/>
  <c r="E18" i="13" s="1"/>
  <c r="I17" i="13"/>
  <c r="J17" i="13" s="1"/>
  <c r="D17" i="13"/>
  <c r="E17" i="13" s="1"/>
  <c r="I16" i="13"/>
  <c r="J16" i="13" s="1"/>
  <c r="D16" i="13"/>
  <c r="E16" i="13" s="1"/>
  <c r="I15" i="13"/>
  <c r="J15" i="13" s="1"/>
  <c r="D15" i="13"/>
  <c r="E15" i="13" s="1"/>
  <c r="I14" i="13"/>
  <c r="J14" i="13" s="1"/>
  <c r="D14" i="13"/>
  <c r="E14" i="13" s="1"/>
  <c r="I13" i="13"/>
  <c r="J13" i="13" s="1"/>
  <c r="D13" i="13"/>
  <c r="E13" i="13" s="1"/>
  <c r="I12" i="13"/>
  <c r="J12" i="13" s="1"/>
  <c r="D12" i="13"/>
  <c r="E12" i="13" s="1"/>
  <c r="I11" i="13"/>
  <c r="J11" i="13" s="1"/>
  <c r="D11" i="13"/>
  <c r="E11" i="13" s="1"/>
  <c r="I10" i="13"/>
  <c r="J10" i="13" s="1"/>
  <c r="D10" i="13"/>
  <c r="E10" i="13" s="1"/>
  <c r="I9" i="13"/>
  <c r="J9" i="13" s="1"/>
  <c r="D9" i="13"/>
  <c r="E9" i="13" s="1"/>
  <c r="I8" i="13"/>
  <c r="J8" i="13" s="1"/>
  <c r="D8" i="13"/>
  <c r="E8" i="13" s="1"/>
  <c r="I7" i="13"/>
  <c r="J7" i="13" s="1"/>
  <c r="D7" i="13"/>
  <c r="E7" i="13" s="1"/>
  <c r="I6" i="13"/>
  <c r="J6" i="13" s="1"/>
  <c r="D6" i="13"/>
  <c r="E6" i="13" s="1"/>
  <c r="I5" i="13"/>
  <c r="J5" i="13" s="1"/>
  <c r="D5" i="13"/>
  <c r="E5" i="13" s="1"/>
  <c r="AC34" i="11" l="1"/>
  <c r="AC36" i="11"/>
  <c r="AC37" i="11"/>
  <c r="AC38" i="11"/>
  <c r="AC39" i="11"/>
  <c r="AC40" i="11"/>
  <c r="AC41" i="11"/>
  <c r="AC42" i="11"/>
  <c r="AC43" i="11"/>
  <c r="AC34" i="3"/>
  <c r="AE34" i="11" l="1"/>
  <c r="V76" i="11" l="1"/>
  <c r="U76" i="11"/>
  <c r="T76" i="11"/>
  <c r="J76" i="11"/>
  <c r="I76" i="11"/>
  <c r="H76" i="11"/>
  <c r="V75" i="11"/>
  <c r="U75" i="11"/>
  <c r="T75" i="11"/>
  <c r="J75" i="11"/>
  <c r="I75" i="11"/>
  <c r="H75" i="11"/>
  <c r="V74" i="11"/>
  <c r="U74" i="11"/>
  <c r="T74" i="11"/>
  <c r="J74" i="11"/>
  <c r="I74" i="11"/>
  <c r="H74" i="11"/>
  <c r="V73" i="11"/>
  <c r="U73" i="11"/>
  <c r="T73" i="11"/>
  <c r="J73" i="11"/>
  <c r="I73" i="11"/>
  <c r="H73" i="11"/>
  <c r="V72" i="11"/>
  <c r="U72" i="11"/>
  <c r="T72" i="11"/>
  <c r="J72" i="11"/>
  <c r="I72" i="11"/>
  <c r="H72" i="11"/>
  <c r="V71" i="11"/>
  <c r="U71" i="11"/>
  <c r="T71" i="11"/>
  <c r="J71" i="11"/>
  <c r="I71" i="11"/>
  <c r="H71" i="11"/>
  <c r="V70" i="11"/>
  <c r="U70" i="11"/>
  <c r="T70" i="11"/>
  <c r="J70" i="11"/>
  <c r="I70" i="11"/>
  <c r="H70" i="11"/>
  <c r="V69" i="11"/>
  <c r="U69" i="11"/>
  <c r="T69" i="11"/>
  <c r="J69" i="11"/>
  <c r="I69" i="11"/>
  <c r="H69" i="11"/>
  <c r="V68" i="11"/>
  <c r="U68" i="11"/>
  <c r="T68" i="11"/>
  <c r="J68" i="11"/>
  <c r="I68" i="11"/>
  <c r="H68" i="11"/>
  <c r="V67" i="11"/>
  <c r="U67" i="11"/>
  <c r="T67" i="11"/>
  <c r="J67" i="11"/>
  <c r="I67" i="11"/>
  <c r="H67" i="11"/>
  <c r="V66" i="11"/>
  <c r="U66" i="11"/>
  <c r="T66" i="11"/>
  <c r="J66" i="11"/>
  <c r="I66" i="11"/>
  <c r="H66" i="11"/>
  <c r="V65" i="11"/>
  <c r="U65" i="11"/>
  <c r="T65" i="11"/>
  <c r="J65" i="11"/>
  <c r="I65" i="11"/>
  <c r="H65" i="11"/>
  <c r="V64" i="11"/>
  <c r="U64" i="11"/>
  <c r="T64" i="11"/>
  <c r="J64" i="11"/>
  <c r="I64" i="11"/>
  <c r="H64" i="11"/>
  <c r="V63" i="11"/>
  <c r="U63" i="11"/>
  <c r="T63" i="11"/>
  <c r="J63" i="11"/>
  <c r="I63" i="11"/>
  <c r="H63" i="11"/>
  <c r="V62" i="11"/>
  <c r="U62" i="11"/>
  <c r="T62" i="11"/>
  <c r="J62" i="11"/>
  <c r="I62" i="11"/>
  <c r="H62" i="11"/>
  <c r="V61" i="11"/>
  <c r="U61" i="11"/>
  <c r="T61" i="11"/>
  <c r="J61" i="11"/>
  <c r="I61" i="11"/>
  <c r="H61" i="11"/>
  <c r="V60" i="11"/>
  <c r="U60" i="11"/>
  <c r="T60" i="11"/>
  <c r="J60" i="11"/>
  <c r="I60" i="11"/>
  <c r="H60" i="11"/>
  <c r="V59" i="11"/>
  <c r="U59" i="11"/>
  <c r="T59" i="11"/>
  <c r="J59" i="11"/>
  <c r="I59" i="11"/>
  <c r="H59" i="11"/>
  <c r="V58" i="11"/>
  <c r="U58" i="11"/>
  <c r="T58" i="11"/>
  <c r="J58" i="11"/>
  <c r="I58" i="11"/>
  <c r="H58" i="11"/>
  <c r="V57" i="11"/>
  <c r="U57" i="11"/>
  <c r="T57" i="11"/>
  <c r="J57" i="11"/>
  <c r="I57" i="11"/>
  <c r="H57" i="11"/>
  <c r="V56" i="11"/>
  <c r="U56" i="11"/>
  <c r="T56" i="11"/>
  <c r="J56" i="11"/>
  <c r="I56" i="11"/>
  <c r="H56" i="11"/>
  <c r="V55" i="11"/>
  <c r="U55" i="11"/>
  <c r="T55" i="11"/>
  <c r="J55" i="11"/>
  <c r="I55" i="11"/>
  <c r="H55" i="11"/>
  <c r="V54" i="11"/>
  <c r="U54" i="11"/>
  <c r="T54" i="11"/>
  <c r="J54" i="11"/>
  <c r="I54" i="11"/>
  <c r="H54" i="11"/>
  <c r="V53" i="11"/>
  <c r="U53" i="11"/>
  <c r="T53" i="11"/>
  <c r="J53" i="11"/>
  <c r="I53" i="11"/>
  <c r="H53" i="11"/>
  <c r="V52" i="11"/>
  <c r="U52" i="11"/>
  <c r="T52" i="11"/>
  <c r="J52" i="11"/>
  <c r="I52" i="11"/>
  <c r="H52" i="11"/>
  <c r="V51" i="11"/>
  <c r="U51" i="11"/>
  <c r="T51" i="11"/>
  <c r="J51" i="11"/>
  <c r="I51" i="11"/>
  <c r="H51" i="11"/>
  <c r="V50" i="11"/>
  <c r="U50" i="11"/>
  <c r="T50" i="11"/>
  <c r="J50" i="11"/>
  <c r="I50" i="11"/>
  <c r="H50" i="11"/>
  <c r="V49" i="11"/>
  <c r="U49" i="11"/>
  <c r="T49" i="11"/>
  <c r="J49" i="11"/>
  <c r="I49" i="11"/>
  <c r="H49" i="11"/>
  <c r="V48" i="11"/>
  <c r="U48" i="11"/>
  <c r="T48" i="11"/>
  <c r="J48" i="11"/>
  <c r="I48" i="11"/>
  <c r="H48" i="11"/>
  <c r="V47" i="11"/>
  <c r="U47" i="11"/>
  <c r="T47" i="11"/>
  <c r="J47" i="11"/>
  <c r="I47" i="11"/>
  <c r="H47" i="11"/>
  <c r="V46" i="11"/>
  <c r="U46" i="11"/>
  <c r="T46" i="11"/>
  <c r="J46" i="11"/>
  <c r="I46" i="11"/>
  <c r="H46" i="11"/>
  <c r="V45" i="11"/>
  <c r="U45" i="11"/>
  <c r="T45" i="11"/>
  <c r="J45" i="11"/>
  <c r="I45" i="11"/>
  <c r="H45" i="11"/>
  <c r="V44" i="11"/>
  <c r="U44" i="11"/>
  <c r="T44" i="11"/>
  <c r="J44" i="11"/>
  <c r="I44" i="11"/>
  <c r="H44" i="11"/>
  <c r="AE43" i="11"/>
  <c r="V43" i="11"/>
  <c r="U43" i="11"/>
  <c r="T43" i="11"/>
  <c r="J43" i="11"/>
  <c r="I43" i="11"/>
  <c r="H43" i="11"/>
  <c r="AE42" i="11"/>
  <c r="V42" i="11"/>
  <c r="U42" i="11"/>
  <c r="T42" i="11"/>
  <c r="J42" i="11"/>
  <c r="I42" i="11"/>
  <c r="H42" i="11"/>
  <c r="AE41" i="11"/>
  <c r="V41" i="11"/>
  <c r="U41" i="11"/>
  <c r="T41" i="11"/>
  <c r="J41" i="11"/>
  <c r="I41" i="11"/>
  <c r="H41" i="11"/>
  <c r="AE40" i="11"/>
  <c r="V40" i="11"/>
  <c r="U40" i="11"/>
  <c r="T40" i="11"/>
  <c r="J40" i="11"/>
  <c r="I40" i="11"/>
  <c r="H40" i="11"/>
  <c r="AE39" i="11"/>
  <c r="V39" i="11"/>
  <c r="U39" i="11"/>
  <c r="T39" i="11"/>
  <c r="J39" i="11"/>
  <c r="I39" i="11"/>
  <c r="H39" i="11"/>
  <c r="AE38" i="11"/>
  <c r="V38" i="11"/>
  <c r="U38" i="11"/>
  <c r="T38" i="11"/>
  <c r="J38" i="11"/>
  <c r="I38" i="11"/>
  <c r="H38" i="11"/>
  <c r="AE37" i="11"/>
  <c r="V37" i="11"/>
  <c r="U37" i="11"/>
  <c r="T37" i="11"/>
  <c r="J37" i="11"/>
  <c r="I37" i="11"/>
  <c r="H37" i="11"/>
  <c r="AE36" i="11"/>
  <c r="V36" i="11"/>
  <c r="U36" i="11"/>
  <c r="T36" i="11"/>
  <c r="J36" i="11"/>
  <c r="I36" i="11"/>
  <c r="H36" i="11"/>
  <c r="AC35" i="11"/>
  <c r="AE35" i="11" s="1"/>
  <c r="V35" i="11"/>
  <c r="U35" i="11"/>
  <c r="T35" i="11"/>
  <c r="J35" i="11"/>
  <c r="I35" i="11"/>
  <c r="H35" i="11"/>
  <c r="V34" i="11"/>
  <c r="U34" i="11"/>
  <c r="T34" i="11"/>
  <c r="J34" i="11"/>
  <c r="I34" i="11"/>
  <c r="H34" i="11"/>
  <c r="H77" i="8" l="1"/>
  <c r="H78" i="8"/>
  <c r="H79" i="8"/>
  <c r="H80" i="8"/>
  <c r="H81" i="8"/>
  <c r="H82" i="8"/>
  <c r="H83" i="8"/>
  <c r="H84" i="8"/>
  <c r="H85" i="8"/>
  <c r="H86" i="8"/>
  <c r="H87" i="8"/>
  <c r="H88" i="8"/>
  <c r="H89" i="8"/>
  <c r="I77" i="8"/>
  <c r="I78" i="8"/>
  <c r="I79" i="8"/>
  <c r="I80" i="8"/>
  <c r="I81" i="8"/>
  <c r="I82" i="8"/>
  <c r="I83" i="8"/>
  <c r="I84" i="8"/>
  <c r="I85" i="8"/>
  <c r="I86" i="8"/>
  <c r="I87" i="8"/>
  <c r="I88" i="8"/>
  <c r="I89" i="8"/>
  <c r="J77" i="8"/>
  <c r="J78" i="8"/>
  <c r="J79" i="8"/>
  <c r="J80" i="8"/>
  <c r="J81" i="8"/>
  <c r="J82" i="8"/>
  <c r="J83" i="8"/>
  <c r="J84" i="8"/>
  <c r="J85" i="8"/>
  <c r="J86" i="8"/>
  <c r="J87" i="8"/>
  <c r="J88" i="8"/>
  <c r="J89" i="8"/>
  <c r="T77" i="8"/>
  <c r="T78" i="8"/>
  <c r="T79" i="8"/>
  <c r="T80" i="8"/>
  <c r="T81" i="8"/>
  <c r="T82" i="8"/>
  <c r="T83" i="8"/>
  <c r="T84" i="8"/>
  <c r="T85" i="8"/>
  <c r="T86" i="8"/>
  <c r="T87" i="8"/>
  <c r="T88" i="8"/>
  <c r="T89" i="8"/>
  <c r="U77" i="8"/>
  <c r="U78" i="8"/>
  <c r="U79" i="8"/>
  <c r="U80" i="8"/>
  <c r="U81" i="8"/>
  <c r="U82" i="8"/>
  <c r="U83" i="8"/>
  <c r="U84" i="8"/>
  <c r="U85" i="8"/>
  <c r="U86" i="8"/>
  <c r="U87" i="8"/>
  <c r="U88" i="8"/>
  <c r="U89" i="8"/>
  <c r="V77" i="8"/>
  <c r="V78" i="8"/>
  <c r="V79" i="8"/>
  <c r="V80" i="8"/>
  <c r="V81" i="8"/>
  <c r="V82" i="8"/>
  <c r="V83" i="8"/>
  <c r="V84" i="8"/>
  <c r="V85" i="8"/>
  <c r="V86" i="8"/>
  <c r="V87" i="8"/>
  <c r="V88" i="8"/>
  <c r="V89" i="8"/>
  <c r="V76" i="8"/>
  <c r="U76" i="8"/>
  <c r="T76" i="8"/>
  <c r="J76" i="8"/>
  <c r="I76" i="8"/>
  <c r="H76" i="8"/>
  <c r="V75" i="8"/>
  <c r="U75" i="8"/>
  <c r="T75" i="8"/>
  <c r="J75" i="8"/>
  <c r="I75" i="8"/>
  <c r="H75" i="8"/>
  <c r="V74" i="8"/>
  <c r="U74" i="8"/>
  <c r="T74" i="8"/>
  <c r="J74" i="8"/>
  <c r="I74" i="8"/>
  <c r="H74" i="8"/>
  <c r="V73" i="8"/>
  <c r="U73" i="8"/>
  <c r="T73" i="8"/>
  <c r="J73" i="8"/>
  <c r="I73" i="8"/>
  <c r="H73" i="8"/>
  <c r="V72" i="8"/>
  <c r="U72" i="8"/>
  <c r="T72" i="8"/>
  <c r="J72" i="8"/>
  <c r="I72" i="8"/>
  <c r="H72" i="8"/>
  <c r="V71" i="8"/>
  <c r="U71" i="8"/>
  <c r="T71" i="8"/>
  <c r="J71" i="8"/>
  <c r="I71" i="8"/>
  <c r="H71" i="8"/>
  <c r="V70" i="8"/>
  <c r="U70" i="8"/>
  <c r="T70" i="8"/>
  <c r="J70" i="8"/>
  <c r="I70" i="8"/>
  <c r="H70" i="8"/>
  <c r="V69" i="8"/>
  <c r="U69" i="8"/>
  <c r="T69" i="8"/>
  <c r="J69" i="8"/>
  <c r="I69" i="8"/>
  <c r="H69" i="8"/>
  <c r="V68" i="8"/>
  <c r="U68" i="8"/>
  <c r="T68" i="8"/>
  <c r="J68" i="8"/>
  <c r="I68" i="8"/>
  <c r="H68" i="8"/>
  <c r="V67" i="8"/>
  <c r="U67" i="8"/>
  <c r="T67" i="8"/>
  <c r="J67" i="8"/>
  <c r="I67" i="8"/>
  <c r="H67" i="8"/>
  <c r="V66" i="8"/>
  <c r="U66" i="8"/>
  <c r="T66" i="8"/>
  <c r="J66" i="8"/>
  <c r="I66" i="8"/>
  <c r="H66" i="8"/>
  <c r="V65" i="8"/>
  <c r="U65" i="8"/>
  <c r="T65" i="8"/>
  <c r="J65" i="8"/>
  <c r="I65" i="8"/>
  <c r="H65" i="8"/>
  <c r="V64" i="8"/>
  <c r="U64" i="8"/>
  <c r="T64" i="8"/>
  <c r="J64" i="8"/>
  <c r="I64" i="8"/>
  <c r="H64" i="8"/>
  <c r="V63" i="8"/>
  <c r="U63" i="8"/>
  <c r="T63" i="8"/>
  <c r="J63" i="8"/>
  <c r="I63" i="8"/>
  <c r="H63" i="8"/>
  <c r="V62" i="8"/>
  <c r="U62" i="8"/>
  <c r="T62" i="8"/>
  <c r="J62" i="8"/>
  <c r="I62" i="8"/>
  <c r="H62" i="8"/>
  <c r="V61" i="8"/>
  <c r="U61" i="8"/>
  <c r="T61" i="8"/>
  <c r="J61" i="8"/>
  <c r="I61" i="8"/>
  <c r="H61" i="8"/>
  <c r="V60" i="8"/>
  <c r="U60" i="8"/>
  <c r="T60" i="8"/>
  <c r="J60" i="8"/>
  <c r="I60" i="8"/>
  <c r="H60" i="8"/>
  <c r="V59" i="8"/>
  <c r="U59" i="8"/>
  <c r="T59" i="8"/>
  <c r="J59" i="8"/>
  <c r="I59" i="8"/>
  <c r="H59" i="8"/>
  <c r="V58" i="8"/>
  <c r="U58" i="8"/>
  <c r="T58" i="8"/>
  <c r="J58" i="8"/>
  <c r="I58" i="8"/>
  <c r="H58" i="8"/>
  <c r="V57" i="8"/>
  <c r="U57" i="8"/>
  <c r="T57" i="8"/>
  <c r="J57" i="8"/>
  <c r="I57" i="8"/>
  <c r="H57" i="8"/>
  <c r="V56" i="8"/>
  <c r="U56" i="8"/>
  <c r="T56" i="8"/>
  <c r="J56" i="8"/>
  <c r="I56" i="8"/>
  <c r="H56" i="8"/>
  <c r="V55" i="8"/>
  <c r="U55" i="8"/>
  <c r="T55" i="8"/>
  <c r="J55" i="8"/>
  <c r="I55" i="8"/>
  <c r="H55" i="8"/>
  <c r="V54" i="8"/>
  <c r="U54" i="8"/>
  <c r="T54" i="8"/>
  <c r="J54" i="8"/>
  <c r="I54" i="8"/>
  <c r="H54" i="8"/>
  <c r="V53" i="8"/>
  <c r="U53" i="8"/>
  <c r="T53" i="8"/>
  <c r="J53" i="8"/>
  <c r="I53" i="8"/>
  <c r="H53" i="8"/>
  <c r="V52" i="8"/>
  <c r="U52" i="8"/>
  <c r="T52" i="8"/>
  <c r="J52" i="8"/>
  <c r="I52" i="8"/>
  <c r="H52" i="8"/>
  <c r="V51" i="8"/>
  <c r="U51" i="8"/>
  <c r="T51" i="8"/>
  <c r="J51" i="8"/>
  <c r="I51" i="8"/>
  <c r="H51" i="8"/>
  <c r="V50" i="8"/>
  <c r="U50" i="8"/>
  <c r="T50" i="8"/>
  <c r="J50" i="8"/>
  <c r="I50" i="8"/>
  <c r="H50" i="8"/>
  <c r="V49" i="8"/>
  <c r="U49" i="8"/>
  <c r="T49" i="8"/>
  <c r="J49" i="8"/>
  <c r="I49" i="8"/>
  <c r="H49" i="8"/>
  <c r="V48" i="8"/>
  <c r="U48" i="8"/>
  <c r="T48" i="8"/>
  <c r="J48" i="8"/>
  <c r="I48" i="8"/>
  <c r="H48" i="8"/>
  <c r="V47" i="8"/>
  <c r="U47" i="8"/>
  <c r="T47" i="8"/>
  <c r="J47" i="8"/>
  <c r="I47" i="8"/>
  <c r="H47" i="8"/>
  <c r="V46" i="8"/>
  <c r="U46" i="8"/>
  <c r="T46" i="8"/>
  <c r="J46" i="8"/>
  <c r="I46" i="8"/>
  <c r="H46" i="8"/>
  <c r="V45" i="8"/>
  <c r="U45" i="8"/>
  <c r="T45" i="8"/>
  <c r="J45" i="8"/>
  <c r="I45" i="8"/>
  <c r="H45" i="8"/>
  <c r="V44" i="8"/>
  <c r="U44" i="8"/>
  <c r="T44" i="8"/>
  <c r="J44" i="8"/>
  <c r="I44" i="8"/>
  <c r="H44" i="8"/>
  <c r="AC43" i="8"/>
  <c r="AE43" i="8" s="1"/>
  <c r="V43" i="8"/>
  <c r="U43" i="8"/>
  <c r="T43" i="8"/>
  <c r="J43" i="8"/>
  <c r="I43" i="8"/>
  <c r="H43" i="8"/>
  <c r="AC42" i="8"/>
  <c r="AE42" i="8" s="1"/>
  <c r="V42" i="8"/>
  <c r="U42" i="8"/>
  <c r="T42" i="8"/>
  <c r="J42" i="8"/>
  <c r="I42" i="8"/>
  <c r="H42" i="8"/>
  <c r="AC41" i="8"/>
  <c r="AE41" i="8" s="1"/>
  <c r="V41" i="8"/>
  <c r="U41" i="8"/>
  <c r="T41" i="8"/>
  <c r="J41" i="8"/>
  <c r="I41" i="8"/>
  <c r="H41" i="8"/>
  <c r="AC40" i="8"/>
  <c r="AE40" i="8" s="1"/>
  <c r="V40" i="8"/>
  <c r="U40" i="8"/>
  <c r="T40" i="8"/>
  <c r="J40" i="8"/>
  <c r="I40" i="8"/>
  <c r="H40" i="8"/>
  <c r="AC39" i="8"/>
  <c r="AE39" i="8" s="1"/>
  <c r="V39" i="8"/>
  <c r="U39" i="8"/>
  <c r="T39" i="8"/>
  <c r="J39" i="8"/>
  <c r="I39" i="8"/>
  <c r="H39" i="8"/>
  <c r="AC38" i="8"/>
  <c r="AE38" i="8" s="1"/>
  <c r="V38" i="8"/>
  <c r="U38" i="8"/>
  <c r="T38" i="8"/>
  <c r="J38" i="8"/>
  <c r="I38" i="8"/>
  <c r="H38" i="8"/>
  <c r="AC37" i="8"/>
  <c r="AE37" i="8" s="1"/>
  <c r="V37" i="8"/>
  <c r="U37" i="8"/>
  <c r="T37" i="8"/>
  <c r="J37" i="8"/>
  <c r="I37" i="8"/>
  <c r="H37" i="8"/>
  <c r="AC36" i="8"/>
  <c r="AE36" i="8" s="1"/>
  <c r="V36" i="8"/>
  <c r="U36" i="8"/>
  <c r="T36" i="8"/>
  <c r="J36" i="8"/>
  <c r="I36" i="8"/>
  <c r="H36" i="8"/>
  <c r="AC35" i="8"/>
  <c r="AE35" i="8" s="1"/>
  <c r="V35" i="8"/>
  <c r="U35" i="8"/>
  <c r="T35" i="8"/>
  <c r="J35" i="8"/>
  <c r="I35" i="8"/>
  <c r="H35" i="8"/>
  <c r="AC34" i="8"/>
  <c r="AE34" i="8" s="1"/>
  <c r="V34" i="8"/>
  <c r="U34" i="8"/>
  <c r="T34" i="8"/>
  <c r="J34" i="8"/>
  <c r="I34" i="8"/>
  <c r="H34" i="8"/>
  <c r="C35" i="6" l="1"/>
  <c r="D35" i="6" s="1"/>
  <c r="E35" i="6" s="1"/>
  <c r="F74" i="11" l="1"/>
  <c r="F75" i="11"/>
  <c r="F76" i="11"/>
  <c r="F73" i="11"/>
  <c r="F78" i="8"/>
  <c r="F82" i="8"/>
  <c r="F86" i="8"/>
  <c r="F79" i="8"/>
  <c r="F83" i="8"/>
  <c r="F87" i="8"/>
  <c r="F80" i="8"/>
  <c r="F84" i="8"/>
  <c r="F88" i="8"/>
  <c r="F89" i="8"/>
  <c r="F81" i="8"/>
  <c r="F85" i="8"/>
  <c r="G85" i="8" l="1"/>
  <c r="K85" i="8" s="1"/>
  <c r="L85" i="8" s="1"/>
  <c r="S85" i="8"/>
  <c r="W85" i="8" s="1"/>
  <c r="S84" i="8"/>
  <c r="W84" i="8" s="1"/>
  <c r="G84" i="8"/>
  <c r="K84" i="8" s="1"/>
  <c r="S79" i="8"/>
  <c r="W79" i="8" s="1"/>
  <c r="G79" i="8"/>
  <c r="K79" i="8" s="1"/>
  <c r="S73" i="11"/>
  <c r="W73" i="11" s="1"/>
  <c r="G73" i="11"/>
  <c r="K73" i="11" s="1"/>
  <c r="G81" i="8"/>
  <c r="K81" i="8" s="1"/>
  <c r="L81" i="8" s="1"/>
  <c r="S81" i="8"/>
  <c r="W81" i="8" s="1"/>
  <c r="S80" i="8"/>
  <c r="W80" i="8" s="1"/>
  <c r="G80" i="8"/>
  <c r="K80" i="8" s="1"/>
  <c r="S86" i="8"/>
  <c r="W86" i="8" s="1"/>
  <c r="G86" i="8"/>
  <c r="K86" i="8" s="1"/>
  <c r="S76" i="11"/>
  <c r="W76" i="11" s="1"/>
  <c r="G76" i="11"/>
  <c r="K76" i="11" s="1"/>
  <c r="G89" i="8"/>
  <c r="K89" i="8" s="1"/>
  <c r="L89" i="8" s="1"/>
  <c r="S89" i="8"/>
  <c r="W89" i="8" s="1"/>
  <c r="S87" i="8"/>
  <c r="W87" i="8" s="1"/>
  <c r="G87" i="8"/>
  <c r="K87" i="8" s="1"/>
  <c r="S82" i="8"/>
  <c r="W82" i="8" s="1"/>
  <c r="G82" i="8"/>
  <c r="K82" i="8" s="1"/>
  <c r="S75" i="11"/>
  <c r="W75" i="11" s="1"/>
  <c r="G75" i="11"/>
  <c r="K75" i="11" s="1"/>
  <c r="S88" i="8"/>
  <c r="W88" i="8" s="1"/>
  <c r="G88" i="8"/>
  <c r="K88" i="8" s="1"/>
  <c r="S83" i="8"/>
  <c r="W83" i="8" s="1"/>
  <c r="G83" i="8"/>
  <c r="K83" i="8" s="1"/>
  <c r="S78" i="8"/>
  <c r="W78" i="8" s="1"/>
  <c r="G78" i="8"/>
  <c r="K78" i="8" s="1"/>
  <c r="S74" i="11"/>
  <c r="W74" i="11" s="1"/>
  <c r="G74" i="11"/>
  <c r="K74" i="11" s="1"/>
  <c r="AE34" i="3"/>
  <c r="AC35" i="3"/>
  <c r="AE35" i="3" s="1"/>
  <c r="AC36" i="3"/>
  <c r="AE36" i="3" s="1"/>
  <c r="AC37" i="3"/>
  <c r="AE37" i="3" s="1"/>
  <c r="AC38" i="3"/>
  <c r="AE38" i="3" s="1"/>
  <c r="AC39" i="3"/>
  <c r="AE39" i="3" s="1"/>
  <c r="AC40" i="3"/>
  <c r="AE40" i="3" s="1"/>
  <c r="AC41" i="3"/>
  <c r="AE41" i="3" s="1"/>
  <c r="AC42" i="3"/>
  <c r="AE42" i="3" s="1"/>
  <c r="AC43" i="3"/>
  <c r="AE43" i="3" s="1"/>
  <c r="X89" i="8" l="1"/>
  <c r="X81" i="8"/>
  <c r="X85" i="8"/>
  <c r="L74" i="11"/>
  <c r="X74" i="11"/>
  <c r="L83" i="8"/>
  <c r="X83" i="8"/>
  <c r="L75" i="11"/>
  <c r="X75" i="11"/>
  <c r="L87" i="8"/>
  <c r="X87" i="8"/>
  <c r="L76" i="11"/>
  <c r="X76" i="11"/>
  <c r="L80" i="8"/>
  <c r="X80" i="8"/>
  <c r="L73" i="11"/>
  <c r="X73" i="11"/>
  <c r="L84" i="8"/>
  <c r="X84" i="8"/>
  <c r="X78" i="8"/>
  <c r="L78" i="8"/>
  <c r="L88" i="8"/>
  <c r="X88" i="8"/>
  <c r="L82" i="8"/>
  <c r="X82" i="8"/>
  <c r="X86" i="8"/>
  <c r="L86" i="8"/>
  <c r="L79" i="8"/>
  <c r="X79" i="8"/>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H67" i="3" l="1"/>
  <c r="H41" i="3"/>
  <c r="H58" i="3"/>
  <c r="H57" i="3"/>
  <c r="H72" i="3"/>
  <c r="H71" i="3"/>
  <c r="H56" i="3"/>
  <c r="H51" i="3"/>
  <c r="H50" i="3"/>
  <c r="H49" i="3"/>
  <c r="H48" i="3"/>
  <c r="H47" i="3"/>
  <c r="H66" i="3"/>
  <c r="H70" i="3"/>
  <c r="H65" i="3"/>
  <c r="H64" i="3"/>
  <c r="H40" i="3"/>
  <c r="H63" i="3"/>
  <c r="H55" i="3"/>
  <c r="H69" i="3"/>
  <c r="H39" i="3"/>
  <c r="H62" i="3"/>
  <c r="H46" i="3"/>
  <c r="H45" i="3"/>
  <c r="H61" i="3"/>
  <c r="H38" i="3"/>
  <c r="H37" i="3"/>
  <c r="H36" i="3"/>
  <c r="H35" i="3"/>
  <c r="H76" i="3"/>
  <c r="H54" i="3"/>
  <c r="H44" i="3"/>
  <c r="H75" i="3"/>
  <c r="H68" i="3"/>
  <c r="H53" i="3"/>
  <c r="H34" i="3"/>
  <c r="H43" i="3"/>
  <c r="H74" i="3"/>
  <c r="H73" i="3"/>
  <c r="H60" i="3"/>
  <c r="H59" i="3"/>
  <c r="H52" i="3"/>
  <c r="J42" i="3"/>
  <c r="J52" i="3"/>
  <c r="J59" i="3"/>
  <c r="J60" i="3"/>
  <c r="J73" i="3"/>
  <c r="J74" i="3"/>
  <c r="J43" i="3"/>
  <c r="J34" i="3"/>
  <c r="J53" i="3"/>
  <c r="J68" i="3"/>
  <c r="J75" i="3"/>
  <c r="J44" i="3"/>
  <c r="J54" i="3"/>
  <c r="J76" i="3"/>
  <c r="J35" i="3"/>
  <c r="J36" i="3"/>
  <c r="J37" i="3"/>
  <c r="J38" i="3"/>
  <c r="J61" i="3"/>
  <c r="J45" i="3"/>
  <c r="J46" i="3"/>
  <c r="J62" i="3"/>
  <c r="J39" i="3"/>
  <c r="J69" i="3"/>
  <c r="J55" i="3"/>
  <c r="J63" i="3"/>
  <c r="J40" i="3"/>
  <c r="J64" i="3"/>
  <c r="J65" i="3"/>
  <c r="J70" i="3"/>
  <c r="J66" i="3"/>
  <c r="J47" i="3"/>
  <c r="J48" i="3"/>
  <c r="J49" i="3"/>
  <c r="J50" i="3"/>
  <c r="J51" i="3"/>
  <c r="J56" i="3"/>
  <c r="J71" i="3"/>
  <c r="J72" i="3"/>
  <c r="J57" i="3"/>
  <c r="J58" i="3"/>
  <c r="J41" i="3"/>
  <c r="J67" i="3"/>
  <c r="I42" i="3"/>
  <c r="I52" i="3"/>
  <c r="I59" i="3"/>
  <c r="I60" i="3"/>
  <c r="I73" i="3"/>
  <c r="I74" i="3"/>
  <c r="I43" i="3"/>
  <c r="I34" i="3"/>
  <c r="I53" i="3"/>
  <c r="I68" i="3"/>
  <c r="I75" i="3"/>
  <c r="I44" i="3"/>
  <c r="I54" i="3"/>
  <c r="I76" i="3"/>
  <c r="I35" i="3"/>
  <c r="I36" i="3"/>
  <c r="I37" i="3"/>
  <c r="I38" i="3"/>
  <c r="I61" i="3"/>
  <c r="I45" i="3"/>
  <c r="I46" i="3"/>
  <c r="I62" i="3"/>
  <c r="I39" i="3"/>
  <c r="I69" i="3"/>
  <c r="I55" i="3"/>
  <c r="I63" i="3"/>
  <c r="I40" i="3"/>
  <c r="I64" i="3"/>
  <c r="I65" i="3"/>
  <c r="I70" i="3"/>
  <c r="I66" i="3"/>
  <c r="I47" i="3"/>
  <c r="I48" i="3"/>
  <c r="I49" i="3"/>
  <c r="I50" i="3"/>
  <c r="I51" i="3"/>
  <c r="I56" i="3"/>
  <c r="I71" i="3"/>
  <c r="I72" i="3"/>
  <c r="I57" i="3"/>
  <c r="I58" i="3"/>
  <c r="I41" i="3"/>
  <c r="I67" i="3"/>
  <c r="H42" i="3"/>
  <c r="D36" i="6" l="1"/>
  <c r="E36" i="6" s="1"/>
  <c r="D37" i="6"/>
  <c r="E37" i="6" s="1"/>
  <c r="D38" i="6"/>
  <c r="E38" i="6" s="1"/>
  <c r="F34" i="8" s="1"/>
  <c r="D39" i="6"/>
  <c r="E39" i="6" s="1"/>
  <c r="D40" i="6"/>
  <c r="E40" i="6" s="1"/>
  <c r="D41" i="6"/>
  <c r="E41" i="6" s="1"/>
  <c r="F58" i="11" l="1"/>
  <c r="F54" i="11"/>
  <c r="F59" i="11"/>
  <c r="F51" i="11"/>
  <c r="F52" i="11"/>
  <c r="F61" i="11"/>
  <c r="F53" i="11"/>
  <c r="F76" i="8"/>
  <c r="F74" i="8"/>
  <c r="F43" i="8"/>
  <c r="F75" i="8"/>
  <c r="F73" i="8"/>
  <c r="F42" i="8"/>
  <c r="F40" i="8"/>
  <c r="F39" i="8"/>
  <c r="F41" i="8"/>
  <c r="F62" i="11"/>
  <c r="F50" i="11"/>
  <c r="F63" i="11"/>
  <c r="F55" i="11"/>
  <c r="F56" i="11"/>
  <c r="F57" i="11"/>
  <c r="F66" i="8"/>
  <c r="F50" i="8"/>
  <c r="F46" i="8"/>
  <c r="F69" i="8"/>
  <c r="F67" i="8"/>
  <c r="F65" i="8"/>
  <c r="F77" i="8"/>
  <c r="F66" i="11"/>
  <c r="F46" i="11"/>
  <c r="F40" i="11"/>
  <c r="F39" i="11"/>
  <c r="F34" i="11"/>
  <c r="F47" i="11"/>
  <c r="F60" i="11"/>
  <c r="F48" i="11"/>
  <c r="F44" i="11"/>
  <c r="F43" i="11"/>
  <c r="F35" i="11"/>
  <c r="F49" i="11"/>
  <c r="F45" i="11"/>
  <c r="F72" i="8"/>
  <c r="F70" i="8"/>
  <c r="F48" i="8"/>
  <c r="F44" i="8"/>
  <c r="F71" i="8"/>
  <c r="F49" i="8"/>
  <c r="F35" i="8"/>
  <c r="F70" i="11"/>
  <c r="F41" i="11"/>
  <c r="F71" i="11"/>
  <c r="F67" i="11"/>
  <c r="F72" i="11"/>
  <c r="F68" i="11"/>
  <c r="F64" i="11"/>
  <c r="F42" i="11"/>
  <c r="F69" i="11"/>
  <c r="F65" i="11"/>
  <c r="F60" i="8"/>
  <c r="F58" i="8"/>
  <c r="F56" i="8"/>
  <c r="F54" i="8"/>
  <c r="F52" i="8"/>
  <c r="F59" i="8"/>
  <c r="F57" i="8"/>
  <c r="F55" i="8"/>
  <c r="F53" i="8"/>
  <c r="F51" i="8"/>
  <c r="F47" i="8"/>
  <c r="F38" i="11"/>
  <c r="F37" i="11"/>
  <c r="F36" i="11"/>
  <c r="F68" i="8"/>
  <c r="F64" i="8"/>
  <c r="F62" i="8"/>
  <c r="F63" i="8"/>
  <c r="F61" i="8"/>
  <c r="F45" i="8"/>
  <c r="F36" i="8"/>
  <c r="F38" i="8"/>
  <c r="F37" i="8"/>
  <c r="F38" i="3"/>
  <c r="F37" i="3"/>
  <c r="F36" i="3"/>
  <c r="F54" i="3"/>
  <c r="F58" i="3"/>
  <c r="F61" i="3"/>
  <c r="F51" i="3"/>
  <c r="F59" i="3"/>
  <c r="F53" i="3"/>
  <c r="F52" i="3"/>
  <c r="F50" i="3"/>
  <c r="F62" i="3"/>
  <c r="F55" i="3"/>
  <c r="F63" i="3"/>
  <c r="F56" i="3"/>
  <c r="F57" i="3"/>
  <c r="F74" i="3"/>
  <c r="F73" i="3"/>
  <c r="F75" i="3"/>
  <c r="F76" i="3"/>
  <c r="F42" i="3"/>
  <c r="F70" i="3"/>
  <c r="F67" i="3"/>
  <c r="S67" i="3" s="1"/>
  <c r="F71" i="3"/>
  <c r="F41" i="3"/>
  <c r="F65" i="3"/>
  <c r="F64" i="3"/>
  <c r="F68" i="3"/>
  <c r="F72" i="3"/>
  <c r="F69" i="3"/>
  <c r="F34" i="3"/>
  <c r="G34" i="3" s="1"/>
  <c r="K34" i="3" s="1"/>
  <c r="F46" i="3"/>
  <c r="F66" i="3"/>
  <c r="F49" i="3"/>
  <c r="F35" i="3"/>
  <c r="F39" i="3"/>
  <c r="F43" i="3"/>
  <c r="F47" i="3"/>
  <c r="F40" i="3"/>
  <c r="F44" i="3"/>
  <c r="F48" i="3"/>
  <c r="F60" i="3"/>
  <c r="F45" i="3"/>
  <c r="S45" i="8" l="1"/>
  <c r="W45" i="8" s="1"/>
  <c r="G45" i="8"/>
  <c r="K45" i="8" s="1"/>
  <c r="S64" i="8"/>
  <c r="W64" i="8" s="1"/>
  <c r="G64" i="8"/>
  <c r="K64" i="8" s="1"/>
  <c r="G38" i="11"/>
  <c r="K38" i="11" s="1"/>
  <c r="S38" i="11"/>
  <c r="W38" i="11" s="1"/>
  <c r="S55" i="8"/>
  <c r="W55" i="8" s="1"/>
  <c r="G55" i="8"/>
  <c r="K55" i="8" s="1"/>
  <c r="L55" i="8" s="1"/>
  <c r="G54" i="8"/>
  <c r="K54" i="8" s="1"/>
  <c r="S54" i="8"/>
  <c r="W54" i="8" s="1"/>
  <c r="S65" i="11"/>
  <c r="W65" i="11" s="1"/>
  <c r="G65" i="11"/>
  <c r="K65" i="11" s="1"/>
  <c r="S68" i="11"/>
  <c r="W68" i="11" s="1"/>
  <c r="G68" i="11"/>
  <c r="K68" i="11" s="1"/>
  <c r="S41" i="11"/>
  <c r="W41" i="11" s="1"/>
  <c r="G41" i="11"/>
  <c r="K41" i="11" s="1"/>
  <c r="S49" i="8"/>
  <c r="W49" i="8" s="1"/>
  <c r="G49" i="8"/>
  <c r="K49" i="8" s="1"/>
  <c r="G70" i="8"/>
  <c r="K70" i="8" s="1"/>
  <c r="S70" i="8"/>
  <c r="W70" i="8" s="1"/>
  <c r="S35" i="11"/>
  <c r="W35" i="11" s="1"/>
  <c r="G35" i="11"/>
  <c r="K35" i="11" s="1"/>
  <c r="S60" i="11"/>
  <c r="W60" i="11" s="1"/>
  <c r="G60" i="11"/>
  <c r="K60" i="11" s="1"/>
  <c r="S40" i="11"/>
  <c r="W40" i="11" s="1"/>
  <c r="G40" i="11"/>
  <c r="K40" i="11" s="1"/>
  <c r="S65" i="8"/>
  <c r="W65" i="8" s="1"/>
  <c r="G65" i="8"/>
  <c r="K65" i="8" s="1"/>
  <c r="G50" i="8"/>
  <c r="K50" i="8" s="1"/>
  <c r="S50" i="8"/>
  <c r="W50" i="8" s="1"/>
  <c r="G55" i="11"/>
  <c r="K55" i="11" s="1"/>
  <c r="S55" i="11"/>
  <c r="W55" i="11" s="1"/>
  <c r="G41" i="8"/>
  <c r="K41" i="8" s="1"/>
  <c r="S41" i="8"/>
  <c r="W41" i="8" s="1"/>
  <c r="S73" i="8"/>
  <c r="W73" i="8" s="1"/>
  <c r="G73" i="8"/>
  <c r="K73" i="8" s="1"/>
  <c r="S76" i="8"/>
  <c r="W76" i="8" s="1"/>
  <c r="G76" i="8"/>
  <c r="K76" i="8" s="1"/>
  <c r="G51" i="11"/>
  <c r="K51" i="11" s="1"/>
  <c r="S51" i="11"/>
  <c r="W51" i="11" s="1"/>
  <c r="G37" i="8"/>
  <c r="K37" i="8" s="1"/>
  <c r="S37" i="8"/>
  <c r="W37" i="8" s="1"/>
  <c r="S61" i="8"/>
  <c r="W61" i="8" s="1"/>
  <c r="G61" i="8"/>
  <c r="K61" i="8" s="1"/>
  <c r="S68" i="8"/>
  <c r="W68" i="8" s="1"/>
  <c r="G68" i="8"/>
  <c r="K68" i="8" s="1"/>
  <c r="S47" i="8"/>
  <c r="W47" i="8" s="1"/>
  <c r="G47" i="8"/>
  <c r="K47" i="8" s="1"/>
  <c r="L47" i="8" s="1"/>
  <c r="S57" i="8"/>
  <c r="W57" i="8" s="1"/>
  <c r="G57" i="8"/>
  <c r="K57" i="8" s="1"/>
  <c r="S56" i="8"/>
  <c r="W56" i="8" s="1"/>
  <c r="G56" i="8"/>
  <c r="K56" i="8" s="1"/>
  <c r="S69" i="11"/>
  <c r="W69" i="11" s="1"/>
  <c r="G69" i="11"/>
  <c r="K69" i="11" s="1"/>
  <c r="S72" i="11"/>
  <c r="W72" i="11" s="1"/>
  <c r="G72" i="11"/>
  <c r="K72" i="11" s="1"/>
  <c r="S70" i="11"/>
  <c r="W70" i="11" s="1"/>
  <c r="G70" i="11"/>
  <c r="K70" i="11" s="1"/>
  <c r="L70" i="11" s="1"/>
  <c r="S71" i="8"/>
  <c r="W71" i="8" s="1"/>
  <c r="G71" i="8"/>
  <c r="K71" i="8" s="1"/>
  <c r="S72" i="8"/>
  <c r="W72" i="8" s="1"/>
  <c r="G72" i="8"/>
  <c r="K72" i="8" s="1"/>
  <c r="S43" i="11"/>
  <c r="W43" i="11" s="1"/>
  <c r="G43" i="11"/>
  <c r="K43" i="11" s="1"/>
  <c r="L43" i="11" s="1"/>
  <c r="G47" i="11"/>
  <c r="K47" i="11" s="1"/>
  <c r="S47" i="11"/>
  <c r="W47" i="11" s="1"/>
  <c r="S46" i="11"/>
  <c r="W46" i="11" s="1"/>
  <c r="G46" i="11"/>
  <c r="K46" i="11" s="1"/>
  <c r="S67" i="8"/>
  <c r="W67" i="8" s="1"/>
  <c r="G67" i="8"/>
  <c r="K67" i="8" s="1"/>
  <c r="L67" i="8" s="1"/>
  <c r="G66" i="8"/>
  <c r="K66" i="8" s="1"/>
  <c r="S66" i="8"/>
  <c r="W66" i="8" s="1"/>
  <c r="G63" i="11"/>
  <c r="K63" i="11" s="1"/>
  <c r="S63" i="11"/>
  <c r="W63" i="11" s="1"/>
  <c r="S39" i="8"/>
  <c r="W39" i="8" s="1"/>
  <c r="G39" i="8"/>
  <c r="K39" i="8" s="1"/>
  <c r="S75" i="8"/>
  <c r="W75" i="8" s="1"/>
  <c r="G75" i="8"/>
  <c r="K75" i="8" s="1"/>
  <c r="S53" i="11"/>
  <c r="W53" i="11" s="1"/>
  <c r="G53" i="11"/>
  <c r="K53" i="11" s="1"/>
  <c r="G59" i="11"/>
  <c r="K59" i="11" s="1"/>
  <c r="S59" i="11"/>
  <c r="W59" i="11" s="1"/>
  <c r="G38" i="8"/>
  <c r="K38" i="8" s="1"/>
  <c r="S38" i="8"/>
  <c r="W38" i="8" s="1"/>
  <c r="S63" i="8"/>
  <c r="W63" i="8" s="1"/>
  <c r="G63" i="8"/>
  <c r="K63" i="8" s="1"/>
  <c r="L63" i="8" s="1"/>
  <c r="S36" i="11"/>
  <c r="W36" i="11" s="1"/>
  <c r="G36" i="11"/>
  <c r="K36" i="11" s="1"/>
  <c r="S51" i="8"/>
  <c r="W51" i="8" s="1"/>
  <c r="G51" i="8"/>
  <c r="K51" i="8" s="1"/>
  <c r="L51" i="8" s="1"/>
  <c r="S59" i="8"/>
  <c r="W59" i="8" s="1"/>
  <c r="G59" i="8"/>
  <c r="K59" i="8" s="1"/>
  <c r="L59" i="8" s="1"/>
  <c r="G58" i="8"/>
  <c r="K58" i="8" s="1"/>
  <c r="S58" i="8"/>
  <c r="W58" i="8" s="1"/>
  <c r="G42" i="11"/>
  <c r="K42" i="11" s="1"/>
  <c r="S42" i="11"/>
  <c r="W42" i="11" s="1"/>
  <c r="G67" i="11"/>
  <c r="K67" i="11" s="1"/>
  <c r="S67" i="11"/>
  <c r="W67" i="11" s="1"/>
  <c r="S34" i="8"/>
  <c r="W34" i="8" s="1"/>
  <c r="G34" i="8"/>
  <c r="K34" i="8" s="1"/>
  <c r="S44" i="8"/>
  <c r="W44" i="8" s="1"/>
  <c r="G44" i="8"/>
  <c r="K44" i="8" s="1"/>
  <c r="S45" i="11"/>
  <c r="W45" i="11" s="1"/>
  <c r="G45" i="11"/>
  <c r="K45" i="11" s="1"/>
  <c r="S44" i="11"/>
  <c r="W44" i="11" s="1"/>
  <c r="G44" i="11"/>
  <c r="K44" i="11" s="1"/>
  <c r="G34" i="11"/>
  <c r="K34" i="11" s="1"/>
  <c r="S34" i="11"/>
  <c r="W34" i="11" s="1"/>
  <c r="S66" i="11"/>
  <c r="W66" i="11" s="1"/>
  <c r="G66" i="11"/>
  <c r="K66" i="11" s="1"/>
  <c r="S69" i="8"/>
  <c r="W69" i="8" s="1"/>
  <c r="G69" i="8"/>
  <c r="K69" i="8" s="1"/>
  <c r="S57" i="11"/>
  <c r="W57" i="11" s="1"/>
  <c r="G57" i="11"/>
  <c r="K57" i="11" s="1"/>
  <c r="S50" i="11"/>
  <c r="W50" i="11" s="1"/>
  <c r="G50" i="11"/>
  <c r="K50" i="11" s="1"/>
  <c r="S40" i="8"/>
  <c r="W40" i="8" s="1"/>
  <c r="G40" i="8"/>
  <c r="K40" i="8" s="1"/>
  <c r="S43" i="8"/>
  <c r="W43" i="8" s="1"/>
  <c r="G43" i="8"/>
  <c r="K43" i="8" s="1"/>
  <c r="L43" i="8" s="1"/>
  <c r="S61" i="11"/>
  <c r="W61" i="11" s="1"/>
  <c r="G61" i="11"/>
  <c r="K61" i="11" s="1"/>
  <c r="S54" i="11"/>
  <c r="W54" i="11" s="1"/>
  <c r="G54" i="11"/>
  <c r="K54" i="11" s="1"/>
  <c r="L54" i="11" s="1"/>
  <c r="G36" i="8"/>
  <c r="K36" i="8" s="1"/>
  <c r="S36" i="8"/>
  <c r="W36" i="8" s="1"/>
  <c r="G62" i="8"/>
  <c r="K62" i="8" s="1"/>
  <c r="S62" i="8"/>
  <c r="W62" i="8" s="1"/>
  <c r="S37" i="11"/>
  <c r="W37" i="11" s="1"/>
  <c r="G37" i="11"/>
  <c r="K37" i="11" s="1"/>
  <c r="S53" i="8"/>
  <c r="W53" i="8" s="1"/>
  <c r="G53" i="8"/>
  <c r="K53" i="8" s="1"/>
  <c r="S52" i="8"/>
  <c r="W52" i="8" s="1"/>
  <c r="G52" i="8"/>
  <c r="K52" i="8" s="1"/>
  <c r="S60" i="8"/>
  <c r="W60" i="8" s="1"/>
  <c r="G60" i="8"/>
  <c r="K60" i="8" s="1"/>
  <c r="S64" i="11"/>
  <c r="W64" i="11" s="1"/>
  <c r="G64" i="11"/>
  <c r="K64" i="11" s="1"/>
  <c r="G71" i="11"/>
  <c r="K71" i="11" s="1"/>
  <c r="S71" i="11"/>
  <c r="W71" i="11" s="1"/>
  <c r="S35" i="8"/>
  <c r="W35" i="8" s="1"/>
  <c r="G35" i="8"/>
  <c r="K35" i="8" s="1"/>
  <c r="S48" i="8"/>
  <c r="W48" i="8" s="1"/>
  <c r="G48" i="8"/>
  <c r="K48" i="8" s="1"/>
  <c r="S49" i="11"/>
  <c r="W49" i="11" s="1"/>
  <c r="G49" i="11"/>
  <c r="K49" i="11" s="1"/>
  <c r="S48" i="11"/>
  <c r="W48" i="11" s="1"/>
  <c r="G48" i="11"/>
  <c r="K48" i="11" s="1"/>
  <c r="S39" i="11"/>
  <c r="W39" i="11" s="1"/>
  <c r="G39" i="11"/>
  <c r="K39" i="11" s="1"/>
  <c r="G77" i="8"/>
  <c r="K77" i="8" s="1"/>
  <c r="L77" i="8" s="1"/>
  <c r="S77" i="8"/>
  <c r="W77" i="8" s="1"/>
  <c r="G46" i="8"/>
  <c r="K46" i="8" s="1"/>
  <c r="S46" i="8"/>
  <c r="W46" i="8" s="1"/>
  <c r="S56" i="11"/>
  <c r="W56" i="11" s="1"/>
  <c r="G56" i="11"/>
  <c r="K56" i="11" s="1"/>
  <c r="S62" i="11"/>
  <c r="W62" i="11" s="1"/>
  <c r="G62" i="11"/>
  <c r="K62" i="11" s="1"/>
  <c r="G42" i="8"/>
  <c r="K42" i="8" s="1"/>
  <c r="S42" i="8"/>
  <c r="W42" i="8" s="1"/>
  <c r="G74" i="8"/>
  <c r="K74" i="8" s="1"/>
  <c r="S74" i="8"/>
  <c r="W74" i="8" s="1"/>
  <c r="S52" i="11"/>
  <c r="W52" i="11" s="1"/>
  <c r="G52" i="11"/>
  <c r="K52" i="11" s="1"/>
  <c r="S58" i="11"/>
  <c r="W58" i="11" s="1"/>
  <c r="G58" i="11"/>
  <c r="K58" i="11" s="1"/>
  <c r="W67" i="3"/>
  <c r="G67" i="3"/>
  <c r="K67" i="3" s="1"/>
  <c r="G62" i="3"/>
  <c r="K62" i="3" s="1"/>
  <c r="S62" i="3"/>
  <c r="G41" i="3"/>
  <c r="K41" i="3" s="1"/>
  <c r="S41" i="3"/>
  <c r="G39" i="3"/>
  <c r="K39" i="3" s="1"/>
  <c r="S39" i="3"/>
  <c r="G45" i="3"/>
  <c r="K45" i="3" s="1"/>
  <c r="S45" i="3"/>
  <c r="G64" i="3"/>
  <c r="K64" i="3" s="1"/>
  <c r="S64" i="3"/>
  <c r="G69" i="3"/>
  <c r="K69" i="3" s="1"/>
  <c r="S69" i="3"/>
  <c r="G68" i="3"/>
  <c r="K68" i="3" s="1"/>
  <c r="S68" i="3"/>
  <c r="G70" i="3"/>
  <c r="K70" i="3" s="1"/>
  <c r="S70" i="3"/>
  <c r="G44" i="3"/>
  <c r="K44" i="3" s="1"/>
  <c r="S44" i="3"/>
  <c r="G75" i="3"/>
  <c r="K75" i="3" s="1"/>
  <c r="S75" i="3"/>
  <c r="G48" i="3"/>
  <c r="K48" i="3" s="1"/>
  <c r="S48" i="3"/>
  <c r="G53" i="3"/>
  <c r="K53" i="3" s="1"/>
  <c r="S53" i="3"/>
  <c r="G49" i="3"/>
  <c r="K49" i="3" s="1"/>
  <c r="S49" i="3"/>
  <c r="G46" i="3"/>
  <c r="K46" i="3" s="1"/>
  <c r="S46" i="3"/>
  <c r="G59" i="3"/>
  <c r="K59" i="3" s="1"/>
  <c r="S59" i="3"/>
  <c r="G37" i="3"/>
  <c r="K37" i="3" s="1"/>
  <c r="S37" i="3"/>
  <c r="S34" i="3"/>
  <c r="G66" i="3"/>
  <c r="K66" i="3" s="1"/>
  <c r="S66" i="3"/>
  <c r="G63" i="3"/>
  <c r="K63" i="3" s="1"/>
  <c r="S63" i="3"/>
  <c r="G72" i="3"/>
  <c r="K72" i="3" s="1"/>
  <c r="S72" i="3"/>
  <c r="G57" i="3"/>
  <c r="K57" i="3" s="1"/>
  <c r="S57" i="3"/>
  <c r="G71" i="3"/>
  <c r="K71" i="3" s="1"/>
  <c r="S71" i="3"/>
  <c r="G56" i="3"/>
  <c r="K56" i="3" s="1"/>
  <c r="S56" i="3"/>
  <c r="G52" i="3"/>
  <c r="K52" i="3" s="1"/>
  <c r="S52" i="3"/>
  <c r="G43" i="3"/>
  <c r="K43" i="3" s="1"/>
  <c r="S43" i="3"/>
  <c r="G47" i="3"/>
  <c r="K47" i="3" s="1"/>
  <c r="S47" i="3"/>
  <c r="G76" i="3"/>
  <c r="K76" i="3" s="1"/>
  <c r="S76" i="3"/>
  <c r="G60" i="3"/>
  <c r="K60" i="3" s="1"/>
  <c r="S60" i="3"/>
  <c r="G38" i="3"/>
  <c r="K38" i="3" s="1"/>
  <c r="S38" i="3"/>
  <c r="G35" i="3"/>
  <c r="K35" i="3" s="1"/>
  <c r="S35" i="3"/>
  <c r="G74" i="3"/>
  <c r="K74" i="3" s="1"/>
  <c r="S74" i="3"/>
  <c r="G50" i="3"/>
  <c r="K50" i="3" s="1"/>
  <c r="S50" i="3"/>
  <c r="G65" i="3"/>
  <c r="K65" i="3" s="1"/>
  <c r="S65" i="3"/>
  <c r="G61" i="3"/>
  <c r="K61" i="3" s="1"/>
  <c r="S61" i="3"/>
  <c r="G58" i="3"/>
  <c r="K58" i="3" s="1"/>
  <c r="S58" i="3"/>
  <c r="G40" i="3"/>
  <c r="K40" i="3" s="1"/>
  <c r="S40" i="3"/>
  <c r="G54" i="3"/>
  <c r="K54" i="3" s="1"/>
  <c r="S54" i="3"/>
  <c r="G36" i="3"/>
  <c r="K36" i="3" s="1"/>
  <c r="S36" i="3"/>
  <c r="G55" i="3"/>
  <c r="K55" i="3" s="1"/>
  <c r="S55" i="3"/>
  <c r="G42" i="3"/>
  <c r="K42" i="3" s="1"/>
  <c r="S42" i="3"/>
  <c r="G51" i="3"/>
  <c r="K51" i="3" s="1"/>
  <c r="S51" i="3"/>
  <c r="G73" i="3"/>
  <c r="K73" i="3" s="1"/>
  <c r="S73" i="3"/>
  <c r="X54" i="11" l="1"/>
  <c r="X43" i="11"/>
  <c r="X59" i="8"/>
  <c r="X43" i="8"/>
  <c r="X47" i="8"/>
  <c r="X55" i="8"/>
  <c r="X51" i="8"/>
  <c r="X63" i="8"/>
  <c r="X67" i="8"/>
  <c r="X67" i="3"/>
  <c r="L52" i="11"/>
  <c r="X52" i="11"/>
  <c r="L56" i="11"/>
  <c r="X56" i="11"/>
  <c r="X77" i="8"/>
  <c r="L48" i="11"/>
  <c r="X48" i="11"/>
  <c r="X48" i="8"/>
  <c r="L48" i="8"/>
  <c r="X60" i="8"/>
  <c r="L60" i="8"/>
  <c r="L53" i="8"/>
  <c r="X53" i="8"/>
  <c r="L50" i="11"/>
  <c r="X50" i="11"/>
  <c r="X69" i="8"/>
  <c r="L69" i="8"/>
  <c r="X45" i="11"/>
  <c r="L45" i="11"/>
  <c r="L34" i="8"/>
  <c r="X34" i="8"/>
  <c r="X36" i="11"/>
  <c r="L36" i="11"/>
  <c r="L53" i="11"/>
  <c r="X53" i="11"/>
  <c r="L39" i="8"/>
  <c r="X39" i="8"/>
  <c r="L46" i="11"/>
  <c r="X46" i="11"/>
  <c r="X71" i="8"/>
  <c r="L71" i="8"/>
  <c r="L72" i="11"/>
  <c r="X72" i="11"/>
  <c r="X56" i="8"/>
  <c r="L56" i="8"/>
  <c r="L61" i="8"/>
  <c r="X61" i="8"/>
  <c r="X73" i="8"/>
  <c r="L73" i="8"/>
  <c r="X65" i="8"/>
  <c r="L65" i="8"/>
  <c r="X60" i="11"/>
  <c r="L60" i="11"/>
  <c r="L41" i="11"/>
  <c r="X41" i="11"/>
  <c r="L65" i="11"/>
  <c r="X65" i="11"/>
  <c r="X64" i="8"/>
  <c r="L64" i="8"/>
  <c r="L42" i="8"/>
  <c r="X42" i="8"/>
  <c r="X71" i="11"/>
  <c r="L71" i="11"/>
  <c r="L62" i="8"/>
  <c r="X62" i="8"/>
  <c r="L34" i="11"/>
  <c r="X34" i="11"/>
  <c r="L42" i="11"/>
  <c r="X42" i="11"/>
  <c r="L38" i="8"/>
  <c r="X38" i="8"/>
  <c r="L66" i="8"/>
  <c r="X66" i="8"/>
  <c r="L51" i="11"/>
  <c r="X51" i="11"/>
  <c r="X55" i="11"/>
  <c r="L55" i="11"/>
  <c r="L70" i="8"/>
  <c r="X70" i="8"/>
  <c r="L58" i="11"/>
  <c r="X58" i="11"/>
  <c r="L62" i="11"/>
  <c r="X62" i="11"/>
  <c r="L39" i="11"/>
  <c r="X39" i="11"/>
  <c r="X49" i="11"/>
  <c r="L49" i="11"/>
  <c r="L35" i="8"/>
  <c r="X35" i="8"/>
  <c r="X64" i="11"/>
  <c r="L64" i="11"/>
  <c r="X52" i="8"/>
  <c r="L52" i="8"/>
  <c r="L37" i="11"/>
  <c r="X37" i="11"/>
  <c r="L61" i="11"/>
  <c r="X61" i="11"/>
  <c r="X40" i="8"/>
  <c r="L40" i="8"/>
  <c r="X57" i="11"/>
  <c r="L57" i="11"/>
  <c r="L66" i="11"/>
  <c r="X66" i="11"/>
  <c r="L44" i="11"/>
  <c r="X44" i="11"/>
  <c r="X44" i="8"/>
  <c r="L44" i="8"/>
  <c r="L75" i="8"/>
  <c r="X75" i="8"/>
  <c r="X72" i="8"/>
  <c r="L72" i="8"/>
  <c r="X69" i="11"/>
  <c r="L69" i="11"/>
  <c r="X57" i="8"/>
  <c r="L57" i="8"/>
  <c r="X68" i="8"/>
  <c r="L68" i="8"/>
  <c r="X76" i="8"/>
  <c r="L76" i="8"/>
  <c r="L40" i="11"/>
  <c r="X40" i="11"/>
  <c r="L35" i="11"/>
  <c r="X35" i="11"/>
  <c r="X49" i="8"/>
  <c r="L49" i="8"/>
  <c r="X68" i="11"/>
  <c r="L68" i="11"/>
  <c r="L45" i="8"/>
  <c r="X45" i="8"/>
  <c r="L74" i="8"/>
  <c r="X74" i="8"/>
  <c r="L46" i="8"/>
  <c r="X46" i="8"/>
  <c r="X36" i="8"/>
  <c r="L36" i="8"/>
  <c r="L67" i="11"/>
  <c r="X67" i="11"/>
  <c r="L58" i="8"/>
  <c r="X58" i="8"/>
  <c r="X59" i="11"/>
  <c r="L59" i="11"/>
  <c r="L63" i="11"/>
  <c r="X63" i="11"/>
  <c r="L47" i="11"/>
  <c r="X47" i="11"/>
  <c r="X70" i="11"/>
  <c r="X37" i="8"/>
  <c r="L37" i="8"/>
  <c r="X41" i="8"/>
  <c r="L41" i="8"/>
  <c r="L50" i="8"/>
  <c r="X50" i="8"/>
  <c r="L54" i="8"/>
  <c r="X54" i="8"/>
  <c r="X38" i="11"/>
  <c r="L38" i="11"/>
  <c r="L67" i="3"/>
  <c r="W46" i="3"/>
  <c r="X46" i="3" s="1"/>
  <c r="W53" i="3"/>
  <c r="X53" i="3" s="1"/>
  <c r="W75" i="3"/>
  <c r="X75" i="3" s="1"/>
  <c r="W70" i="3"/>
  <c r="X70" i="3" s="1"/>
  <c r="W69" i="3"/>
  <c r="X69" i="3" s="1"/>
  <c r="W45" i="3"/>
  <c r="X45" i="3" s="1"/>
  <c r="W55" i="3"/>
  <c r="X55" i="3" s="1"/>
  <c r="W73" i="3"/>
  <c r="X73" i="3" s="1"/>
  <c r="W42" i="3"/>
  <c r="X42" i="3" s="1"/>
  <c r="W61" i="3"/>
  <c r="X61" i="3" s="1"/>
  <c r="W50" i="3"/>
  <c r="X50" i="3" s="1"/>
  <c r="W60" i="3"/>
  <c r="X60" i="3" s="1"/>
  <c r="W47" i="3"/>
  <c r="X47" i="3" s="1"/>
  <c r="W52" i="3"/>
  <c r="X52" i="3" s="1"/>
  <c r="W71" i="3"/>
  <c r="X71" i="3" s="1"/>
  <c r="W72" i="3"/>
  <c r="X72" i="3" s="1"/>
  <c r="W66" i="3"/>
  <c r="X66" i="3" s="1"/>
  <c r="W59" i="3"/>
  <c r="X59" i="3" s="1"/>
  <c r="W49" i="3"/>
  <c r="X49" i="3" s="1"/>
  <c r="W48" i="3"/>
  <c r="X48" i="3" s="1"/>
  <c r="W44" i="3"/>
  <c r="X44" i="3" s="1"/>
  <c r="W68" i="3"/>
  <c r="X68" i="3" s="1"/>
  <c r="W64" i="3"/>
  <c r="X64" i="3" s="1"/>
  <c r="W62" i="3"/>
  <c r="X62" i="3" s="1"/>
  <c r="W51" i="3"/>
  <c r="X51" i="3" s="1"/>
  <c r="W54" i="3"/>
  <c r="X54" i="3" s="1"/>
  <c r="W58" i="3"/>
  <c r="X58" i="3" s="1"/>
  <c r="W65" i="3"/>
  <c r="X65" i="3" s="1"/>
  <c r="W74" i="3"/>
  <c r="X74" i="3" s="1"/>
  <c r="W76" i="3"/>
  <c r="X76" i="3" s="1"/>
  <c r="W43" i="3"/>
  <c r="X43" i="3" s="1"/>
  <c r="W56" i="3"/>
  <c r="X56" i="3" s="1"/>
  <c r="W57" i="3"/>
  <c r="X57" i="3" s="1"/>
  <c r="W63" i="3"/>
  <c r="X63" i="3" s="1"/>
  <c r="W38" i="3"/>
  <c r="X38" i="3" s="1"/>
  <c r="W34" i="3"/>
  <c r="X34" i="3" s="1"/>
  <c r="W37" i="3"/>
  <c r="X37" i="3" s="1"/>
  <c r="W41" i="3"/>
  <c r="X41" i="3" s="1"/>
  <c r="W39" i="3"/>
  <c r="X39" i="3" s="1"/>
  <c r="W36" i="3"/>
  <c r="X36" i="3" s="1"/>
  <c r="W40" i="3"/>
  <c r="X40" i="3" s="1"/>
  <c r="W35" i="3"/>
  <c r="X35" i="3" s="1"/>
  <c r="L54" i="3"/>
  <c r="L65" i="3"/>
  <c r="L50" i="3"/>
  <c r="L43" i="3"/>
  <c r="L57" i="3"/>
  <c r="L46" i="3"/>
  <c r="L75" i="3"/>
  <c r="L68" i="3"/>
  <c r="L39" i="3"/>
  <c r="L42" i="3"/>
  <c r="L61" i="3"/>
  <c r="L74" i="3"/>
  <c r="L35" i="3"/>
  <c r="L52" i="3"/>
  <c r="L72" i="3"/>
  <c r="L34" i="3"/>
  <c r="L49" i="3"/>
  <c r="L70" i="3"/>
  <c r="L45" i="3"/>
  <c r="L41" i="3"/>
  <c r="L73" i="3"/>
  <c r="L36" i="3"/>
  <c r="L40" i="3"/>
  <c r="L60" i="3"/>
  <c r="L47" i="3"/>
  <c r="L71" i="3"/>
  <c r="L66" i="3"/>
  <c r="L59" i="3"/>
  <c r="L48" i="3"/>
  <c r="L69" i="3"/>
  <c r="L51" i="3"/>
  <c r="L55" i="3"/>
  <c r="L58" i="3"/>
  <c r="L38" i="3"/>
  <c r="L76" i="3"/>
  <c r="L56" i="3"/>
  <c r="L63" i="3"/>
  <c r="L37" i="3"/>
  <c r="L53" i="3"/>
  <c r="L44" i="3"/>
  <c r="L64" i="3"/>
  <c r="L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Cronin</author>
  </authors>
  <commentList>
    <comment ref="E12" authorId="0" shapeId="0" xr:uid="{7FF5A817-389D-4035-9C71-9C4455F8FC91}">
      <text>
        <r>
          <rPr>
            <sz val="9"/>
            <color indexed="81"/>
            <rFont val="Tahoma"/>
            <family val="2"/>
          </rPr>
          <t>This enterprise could tolerate a loss up to $20,000.</t>
        </r>
      </text>
    </comment>
    <comment ref="E13" authorId="0" shapeId="0" xr:uid="{CE86A40F-80B7-47ED-B4DE-577E4786BFFE}">
      <text>
        <r>
          <rPr>
            <sz val="9"/>
            <color indexed="81"/>
            <rFont val="Tahoma"/>
            <family val="2"/>
          </rPr>
          <t>If this enterprise loses more than $1,000,000, they could not recover.</t>
        </r>
      </text>
    </comment>
    <comment ref="E21" authorId="0" shapeId="0" xr:uid="{944D4C4B-8110-4C55-8662-A8236BD89C01}">
      <text>
        <r>
          <rPr>
            <sz val="9"/>
            <color indexed="81"/>
            <rFont val="Tahoma"/>
            <family val="2"/>
          </rPr>
          <t>The highest obligations impact score that an asset could cause would be '3'.</t>
        </r>
      </text>
    </comment>
    <comment ref="E25" authorId="0" shapeId="0" xr:uid="{0510F474-1872-413A-8B20-EBC314353FC8}">
      <text>
        <r>
          <rPr>
            <sz val="9"/>
            <color indexed="81"/>
            <rFont val="Tahoma"/>
            <family val="2"/>
          </rPr>
          <t>If the network in this enterprise were compromised, the highest obligations impact it could create would be '2'.</t>
        </r>
      </text>
    </comment>
    <comment ref="Q34" authorId="0" shapeId="0" xr:uid="{2E87C549-D9B2-43CF-9F68-B150F9DDDDA7}">
      <text>
        <r>
          <rPr>
            <sz val="9"/>
            <color indexed="81"/>
            <rFont val="Tahoma"/>
            <family val="2"/>
          </rPr>
          <t>The enterprise believes that implementing a network access control device will address multiple risks.</t>
        </r>
      </text>
    </comment>
    <comment ref="X41" authorId="0" shapeId="0" xr:uid="{8AD78017-4CF3-40E7-BE1A-5BD210D5F2E6}">
      <text>
        <r>
          <rPr>
            <sz val="9"/>
            <color indexed="81"/>
            <rFont val="Tahoma"/>
            <family val="2"/>
          </rPr>
          <t>If the safeguard is implemented at maturity '4' the safeguard risk will still be too high. Using, auditing, and correcting PAM may not be enough, in this case. The enterprise may consider an automated approach to ensure that PAM is consistently enforced and automatically improved over time.</t>
        </r>
      </text>
    </comment>
  </commentList>
</comments>
</file>

<file path=xl/sharedStrings.xml><?xml version="1.0" encoding="utf-8"?>
<sst xmlns="http://schemas.openxmlformats.org/spreadsheetml/2006/main" count="1677" uniqueCount="453">
  <si>
    <t>Impact to Mission</t>
  </si>
  <si>
    <t>Impact to Obligations</t>
  </si>
  <si>
    <t>Risk Score</t>
  </si>
  <si>
    <t>Risk Level</t>
  </si>
  <si>
    <t>Definition</t>
  </si>
  <si>
    <t>Impact Scores</t>
  </si>
  <si>
    <t>Mission</t>
  </si>
  <si>
    <t>Acceptable Risk Score</t>
  </si>
  <si>
    <t>&lt;6</t>
  </si>
  <si>
    <t>Risk Acceptance Criteria</t>
  </si>
  <si>
    <t>All scores lower than '6' may be automatically accepted. All other risks must be reduced.</t>
  </si>
  <si>
    <t>Sum of Threat Count / Industry</t>
  </si>
  <si>
    <t>Percentage</t>
  </si>
  <si>
    <t>Maturity</t>
  </si>
  <si>
    <t>Index</t>
  </si>
  <si>
    <t>Maintain Detailed Asset Inventory</t>
  </si>
  <si>
    <t>Address Unauthorized Assets</t>
  </si>
  <si>
    <t>Maintain Inventory of Authorized Software</t>
  </si>
  <si>
    <t>Ensure Software is Supported by Vendor</t>
  </si>
  <si>
    <t>Deploy Automated Operating System Patch Management Tools</t>
  </si>
  <si>
    <t>Deploy Automated Software Patch Management Tools</t>
  </si>
  <si>
    <t>Change Default Passwords</t>
  </si>
  <si>
    <t>Ensure the Use of Dedicated Administrative Accounts</t>
  </si>
  <si>
    <t>Use Unique Passwords</t>
  </si>
  <si>
    <t>Establish Secure Configurations</t>
  </si>
  <si>
    <t>Ensure Use of Only Fully Supported Browsers and Email Clients</t>
  </si>
  <si>
    <t>Use of DNS Filtering Services</t>
  </si>
  <si>
    <t>Configure Anti-Malware Scanning of Removable Devices</t>
  </si>
  <si>
    <t>Perform Complete System Backups</t>
  </si>
  <si>
    <t>Maintain an Inventory of Network Boundaries</t>
  </si>
  <si>
    <t>Remove Sensitive Data or Systems Not Regularly Accessed by Organization</t>
  </si>
  <si>
    <t>Leverage the Advanced Encryption Standard (AES) to Encrypt Wireless Data</t>
  </si>
  <si>
    <t>Create Separate Wireless Network for Personal and Untrusted Devices</t>
  </si>
  <si>
    <t>Disable Any Unassociated Accounts</t>
  </si>
  <si>
    <t>Disable Dormant Accounts</t>
  </si>
  <si>
    <t>Lock Workstation Sessions After Inactivity</t>
  </si>
  <si>
    <t>Implement a Security Awareness Program</t>
  </si>
  <si>
    <t>Train Workforce on Secure Authentication</t>
  </si>
  <si>
    <t>Train Workforce on Identifying Social Engineering Attacks</t>
  </si>
  <si>
    <t>Train Workforce on Sensitive Data Handling</t>
  </si>
  <si>
    <t>Train Workforce on Causes of Unintentional Data Exposure</t>
  </si>
  <si>
    <t>Train Workforce Members on Identifying and Reporting Incidents</t>
  </si>
  <si>
    <t>Document Incident Response Procedures</t>
  </si>
  <si>
    <t>Designate Management Personnel to Support Incident Handling</t>
  </si>
  <si>
    <t>Maintain Contact Information For Reporting Security Incidents</t>
  </si>
  <si>
    <t>Publish Information Regarding Reporting Computer Anomalies and Incidents</t>
  </si>
  <si>
    <t>Mission Impact</t>
  </si>
  <si>
    <t>Obligations Impact</t>
  </si>
  <si>
    <t>Impact Criteria</t>
  </si>
  <si>
    <t>VCDB Index</t>
  </si>
  <si>
    <t>VCDB Index Weight Table</t>
  </si>
  <si>
    <t>Asset Class</t>
  </si>
  <si>
    <t>Obligations</t>
  </si>
  <si>
    <t>Scope</t>
  </si>
  <si>
    <t>Last Completed (Date)</t>
  </si>
  <si>
    <t>We would not be able to achieve our mission.</t>
  </si>
  <si>
    <t>We would achieve our mission.</t>
  </si>
  <si>
    <t>We would have to reinvest or correct the situation to achieve our mission.</t>
  </si>
  <si>
    <t>We would meet our objectives.</t>
  </si>
  <si>
    <t>We would have to reinvest or correct the situation to achieve our objectives.</t>
  </si>
  <si>
    <t>We would not be able to meet our objectives.</t>
  </si>
  <si>
    <t>1. Acceptable</t>
  </si>
  <si>
    <t>2. Unacceptable</t>
  </si>
  <si>
    <t>3. Catastrophic</t>
  </si>
  <si>
    <t>No harm would come to others.</t>
  </si>
  <si>
    <t xml:space="preserve">The harm that would come to others would be correctable. </t>
  </si>
  <si>
    <t>The harm that would come to others would not be correctable.</t>
  </si>
  <si>
    <t>The high dollar limit for each impact score.</t>
  </si>
  <si>
    <t>Risk Register</t>
  </si>
  <si>
    <t>Inherent Risk Criteria</t>
  </si>
  <si>
    <t>Risk Treatment Safeguard</t>
  </si>
  <si>
    <t>Implementation Year</t>
  </si>
  <si>
    <t>Year</t>
  </si>
  <si>
    <t>Reasonable?</t>
  </si>
  <si>
    <t>Risk Treatment
Safeguard Title</t>
  </si>
  <si>
    <t>Risk Treatment
Safeguard Description</t>
  </si>
  <si>
    <t>Risk Treatment Safeguard Impact to Mission</t>
  </si>
  <si>
    <t>Risk Treatment Safeguard Impact to Obligations</t>
  </si>
  <si>
    <t>Risk Treatment Safeguard Cost</t>
  </si>
  <si>
    <t>Risk Treatment Safeguard Risk Score</t>
  </si>
  <si>
    <t>This risk should be expected to cause a security incident at some time.</t>
  </si>
  <si>
    <t>We should expect this to happen soon, if it has not already occurred.</t>
  </si>
  <si>
    <t>Activate Audit Logging</t>
  </si>
  <si>
    <t>Ensure Anti-Malware Software and Signatures Are Updated</t>
  </si>
  <si>
    <t>Configure Devices to Not Auto-Run Content</t>
  </si>
  <si>
    <t>Apply Host-Based Firewalls or Port-Filtering</t>
  </si>
  <si>
    <t>Ensure Regular Automated BackUps</t>
  </si>
  <si>
    <t>Protect Backups</t>
  </si>
  <si>
    <t>Ensure All Backups Have at Least One Offline Backup Destination</t>
  </si>
  <si>
    <t>Install the Latest Stable Version of Any Security-Related Updates on All Network Devices</t>
  </si>
  <si>
    <t>Deny Communication Over Unauthorized Ports</t>
  </si>
  <si>
    <t>Maintain an Inventory of Sensitive Information</t>
  </si>
  <si>
    <t>Encrypt Mobile Device Data</t>
  </si>
  <si>
    <t>Protect Information Through Access Control Lists</t>
  </si>
  <si>
    <t>Establish and Maintain Detailed Enterprise Asset Inventory</t>
  </si>
  <si>
    <t>Establish and Maintain a Software Inventory</t>
  </si>
  <si>
    <t xml:space="preserve">Ensure Authorized Software is Currently Supported </t>
  </si>
  <si>
    <t>Address Unauthorized Software</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</si>
  <si>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</si>
  <si>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</si>
  <si>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</si>
  <si>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</si>
  <si>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</si>
  <si>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</si>
  <si>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Secure Configuration Process</t>
  </si>
  <si>
    <t>Establish and Maintain a Secure Configuration Process for Network Infrastructure</t>
  </si>
  <si>
    <t>Configure Automatic Session Locking on Enterprise Assets</t>
  </si>
  <si>
    <t>Implement and Manage a Firewall on Servers</t>
  </si>
  <si>
    <t>Implement and Manage a Firewall on End-User Devices</t>
  </si>
  <si>
    <t>Securely Manage Enterprise Assets and Software</t>
  </si>
  <si>
    <t>Manage Default Accounts on Enterprise Assets and Software</t>
  </si>
  <si>
    <t>Establish and Maintain an Inventory of Accounts</t>
  </si>
  <si>
    <t>Restrict Administrator Privileges to Dedicated Administrator Accounts</t>
  </si>
  <si>
    <t>Establish an Access Granting Process</t>
  </si>
  <si>
    <t>Establish an Access Revoking Process</t>
  </si>
  <si>
    <t>Require MFA for Externally-Exposed Applications</t>
  </si>
  <si>
    <t>Require MFA for Remote Network Access</t>
  </si>
  <si>
    <t>Require MFA for Administrative Access</t>
  </si>
  <si>
    <t>Establish and Maintain a Vulnerability Management Process</t>
  </si>
  <si>
    <t>Establish and Maintain a Remediation Process</t>
  </si>
  <si>
    <t>Perform Automated Operating System Patch Management</t>
  </si>
  <si>
    <t>Perform Automated Application Patch Management</t>
  </si>
  <si>
    <t>Establish and Maintain an Audit Log Management Process</t>
  </si>
  <si>
    <t>Collect Audit Logs</t>
  </si>
  <si>
    <t>Ensure Adequate Audit Log Storage</t>
  </si>
  <si>
    <t>Use DNS Filtering Services</t>
  </si>
  <si>
    <t>Deploy and Maintain Anti-Malware Software</t>
  </si>
  <si>
    <t>Configure Automatic Anti-Malware Signature Updates</t>
  </si>
  <si>
    <t>Disable Autorun and Autoplay for Removable Media</t>
  </si>
  <si>
    <t>Establish and Maintain a Data Recovery Process </t>
  </si>
  <si>
    <t>Perform Automated Backups </t>
  </si>
  <si>
    <t>Protect Recovery Data</t>
  </si>
  <si>
    <t>Establish and Maintain an Isolated Instance of Recovery Data </t>
  </si>
  <si>
    <t>Ensure Network Infrastructure is Up-to-Date</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</si>
  <si>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</si>
  <si>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</si>
  <si>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</si>
  <si>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</si>
  <si>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</si>
  <si>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</si>
  <si>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How to Identify and Report if Their Enterprise Assets are Missing Security Updates</t>
  </si>
  <si>
    <t>Train Workforce on the Dangers of Connecting to and Transmitting Enterprise Data Over Insecure Networks</t>
  </si>
  <si>
    <t>Establish and Maintain an Inventory of Service Providers</t>
  </si>
  <si>
    <t>Designate Personnel to Manage Incident Handling</t>
  </si>
  <si>
    <t>Establish and Maintain Contact Information for Reporting Security Incidents</t>
  </si>
  <si>
    <t>Establish and Maintain an Enterprise Process for Reporting Incidents</t>
  </si>
  <si>
    <t>Data</t>
  </si>
  <si>
    <t>Devices</t>
  </si>
  <si>
    <t>Applications</t>
  </si>
  <si>
    <t>Network</t>
  </si>
  <si>
    <t>Users</t>
  </si>
  <si>
    <t>Enterprise</t>
  </si>
  <si>
    <t>Enterprise Name</t>
  </si>
  <si>
    <t>Operational Objectives</t>
  </si>
  <si>
    <t>Financial Objectives</t>
  </si>
  <si>
    <t>Operational Objectives Impact</t>
  </si>
  <si>
    <t>Impact to Operational Objectives</t>
  </si>
  <si>
    <t>Risk Treatment Safeguard Impact to Operational Objectives</t>
  </si>
  <si>
    <t>Impact to Financial Objectives</t>
  </si>
  <si>
    <t>Incident Count</t>
  </si>
  <si>
    <t>As of</t>
  </si>
  <si>
    <t>VCDB Index Lookup</t>
  </si>
  <si>
    <t>Unknown</t>
  </si>
  <si>
    <t>Implementation Quarter</t>
  </si>
  <si>
    <t>Q2</t>
  </si>
  <si>
    <t>Safeguard is not implemented or is inconsistently implemented.</t>
  </si>
  <si>
    <t>Safeguard is implemented fully on some assets or partially on all assets.</t>
  </si>
  <si>
    <t>Safeguard is implemented on all assets.</t>
  </si>
  <si>
    <t>CIS Safeguard #</t>
  </si>
  <si>
    <t>CIS Safeguard Title</t>
  </si>
  <si>
    <t>What is the highest impact to the mission, operational objectives, and obligations that each asset type could cause? To make this simple, add values ('1' through '3') for "Enterprise" only and leave the indented rows below "Enterprise" blank. If you wish to estimate risks for each Asset Class, you must also add values to the rows that contain the Asset Classes you wish to analyze.</t>
  </si>
  <si>
    <t>Our Planned Implementation</t>
  </si>
  <si>
    <t>Maintain an accurate and up-to-date inventory of all technology assets with the potential to store or process information. This inventory shall include all hardware assets, whether connected to the organization's network or not.</t>
  </si>
  <si>
    <t>Maintain an up-to-date list of all authorized software that is required in the enterprise for any business purpose on any business system.</t>
  </si>
  <si>
    <t>Ensure that only software applications or operating systems currently supported by the software's vendor are added to the organization's authorized software inventory. Unsupported software should be tagged as unsupported in the inventory system.</t>
  </si>
  <si>
    <t>Deploy automated software update tools in order to ensure that the operating systems are running the most recent security updates provided by the software vendor.</t>
  </si>
  <si>
    <t>Deploy automated software update tools in order to ensure that third-party software on all systems is running the most recent security updates provided by the software vendor.</t>
  </si>
  <si>
    <t>Before deploying any new asset, change all default passwords to have values consistent with administrative level accounts.</t>
  </si>
  <si>
    <t>Ensure that all users with administrative account access use a dedicated or secondary account for elevated activities. This account should only be used for administrative activities and not internet browsing, email, or similar activities.</t>
  </si>
  <si>
    <t>Maintain documented, standard security configuration standards for all authorized operating systems and software.</t>
  </si>
  <si>
    <t>Ensure that local logging has been enabled on all systems and networking devices.</t>
  </si>
  <si>
    <t>Ensure that only fully supported web browsers and email clients are allowed to execute in the organization, ideally only using the latest version of the browsers and email clients provided by the vendor.</t>
  </si>
  <si>
    <t>Use DNS filtering services to help block access to known malicious domains.</t>
  </si>
  <si>
    <t>Ensure that the organization's anti-malware software updates its scanning engine and signature database on a regular basis.</t>
  </si>
  <si>
    <t>Configure devices so that they automatically conduct an anti-malware scan of removable media when inserted or connected.</t>
  </si>
  <si>
    <t>Configure devices to not auto-run content from removable media.</t>
  </si>
  <si>
    <t>Apply host-based firewalls or port filtering tools on end systems, with a default-deny rule that drops all traffic except those services and ports that are explicitly allowed.</t>
  </si>
  <si>
    <t>Ensure that each of the organization's key systems are backed up as a complete system, through processes such as imaging, to enable the quick recovery of an entire system.</t>
  </si>
  <si>
    <t>Ensure that backups are properly protected via physical security or encryption when they are stored, as well as when they are moved across the network. This includes remote backups and cloud services.</t>
  </si>
  <si>
    <t>Ensure that all backups have at least one backup destination that is not continuously addressable through operating system calls.</t>
  </si>
  <si>
    <t>Install the latest stable version of any security-related updates on all network devices.</t>
  </si>
  <si>
    <t>Maintain an up-to-date inventory of all of the organization's network boundaries.</t>
  </si>
  <si>
    <t>Deny communication over unauthorized TCP or UDP ports or application traffic to ensure that only authorized protocols are allowed to cross the network boundary in or out of the network at each of the organization's network boundaries.</t>
  </si>
  <si>
    <t>Maintain an inventory of all sensitive information stored, processed, or transmitted by the organization's technology systems, including those located onsite or at a remote service provider.</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</si>
  <si>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</si>
  <si>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Utilize approved whole disk encryption software to encrypt the hard drive of all mobile devices.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</si>
  <si>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</si>
  <si>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Maintain an inventory of authorized wireless access points connected to the wired network.</t>
  </si>
  <si>
    <t>Leverage the Advanced Encryption Standard (AES) to encrypt wireless data in transit.</t>
  </si>
  <si>
    <t>Disable any account that cannot be associated with a business process or business owner.</t>
  </si>
  <si>
    <t>Automatically disable dormant accounts after a set period of inactivity.</t>
  </si>
  <si>
    <t>Automatically lock workstation sessions after a standard period of inactivity.</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</si>
  <si>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</si>
  <si>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Train workforce members on the importance of enabling and utilizing secure authentication.</t>
  </si>
  <si>
    <t>Train workforce members to be aware of causes for unintentional data exposures, such as losing their mobile devices or emailing the wrong person due to autocomplete in email.</t>
  </si>
  <si>
    <t>Train employees to be able to identify the most common indicators of an incident and be able to report such an incident.</t>
  </si>
  <si>
    <t>Designate management personnel, as well as backups, who will support the incident handling process by acting in key decision-making roles.</t>
  </si>
  <si>
    <t>Assemble and maintain information on third-party contact information to be used to report a security incident, such as Law Enforcement, relevant government departments, vendors, and ISAC partners.</t>
  </si>
  <si>
    <t>Publish information for all workforce members, regarding reporting computer anomalies and incidents to the incident handling team. Such information should be included in routine employee awareness activities.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</si>
  <si>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</si>
  <si>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</si>
  <si>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</si>
  <si>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</si>
  <si>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</si>
  <si>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</si>
  <si>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</si>
  <si>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</si>
  <si>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</si>
  <si>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</si>
  <si>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</si>
  <si>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</si>
  <si>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</si>
  <si>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</si>
  <si>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</si>
  <si>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</si>
  <si>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</si>
  <si>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</si>
  <si>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</si>
  <si>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</si>
  <si>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</si>
  <si>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</si>
  <si>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</si>
  <si>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</si>
  <si>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</si>
  <si>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</si>
  <si>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</si>
  <si>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</si>
  <si>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</si>
  <si>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application updates on enterprise assets through automated patch management on a monthly, or more frequent, basis.</t>
  </si>
  <si>
    <t>Collect audit logs. Ensure that logging, per the enterprise’s audit log management process, has been enabled across enterprise assets.</t>
  </si>
  <si>
    <t>Ensure that logging destinations maintain adequate storage to comply with the enterprise’s audit log management process.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</si>
  <si>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</si>
  <si>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</si>
  <si>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Deploy and maintain anti-malware software on all enterprise assets.</t>
  </si>
  <si>
    <t>Configure automatic updates for anti-malware signature files on all enterprise assets.</t>
  </si>
  <si>
    <t>Disable autorun and autoplay auto-execute functionality for removable media.</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</si>
  <si>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</si>
  <si>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</si>
  <si>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</si>
  <si>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</si>
  <si>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</si>
  <si>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</si>
  <si>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</si>
  <si>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</si>
  <si>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</si>
  <si>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</si>
  <si>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</si>
  <si>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</si>
  <si>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</si>
  <si>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</si>
  <si>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</si>
  <si>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</si>
  <si>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</si>
  <si>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Encrypt data on end-user devices containing sensitive data. Example implementations can include: Windows BitLocker®, Apple FileVault®, Linux® dm-crypt.</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</si>
  <si>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</si>
  <si>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Risk Treatment</t>
  </si>
  <si>
    <t>Reasonable and Acceptable</t>
  </si>
  <si>
    <t>Risk Analysis</t>
  </si>
  <si>
    <t>Reduce</t>
  </si>
  <si>
    <t>Accept</t>
  </si>
  <si>
    <t>Risk Treatment Safeguard Title</t>
  </si>
  <si>
    <t>Risk Treatment Safeguard Description</t>
  </si>
  <si>
    <t>Required</t>
  </si>
  <si>
    <t>Optional</t>
  </si>
  <si>
    <t>Color Key</t>
  </si>
  <si>
    <t>Meaning</t>
  </si>
  <si>
    <t>For user input. Risk assessors will add values into these columns.</t>
  </si>
  <si>
    <t>For optional user input. Risk assessors may add values into these columns if it's useful to them.</t>
  </si>
  <si>
    <t>Used to evaluate risk acceptance</t>
  </si>
  <si>
    <t>Used to populate "VCDB Index"</t>
  </si>
  <si>
    <t>Color</t>
  </si>
  <si>
    <t>All assets</t>
  </si>
  <si>
    <t>State College</t>
  </si>
  <si>
    <t>To prepare each generation to succeed to the best of their ability; To inspire young artists to find their voice; To meet or exceed performance standards issued by the state; To help each student achieve their potential.</t>
  </si>
  <si>
    <t>Maintain an operational budget; Grow the Foundation</t>
  </si>
  <si>
    <t>To prevent theft of students’ identity</t>
  </si>
  <si>
    <t>Safeguard Maturity Score</t>
  </si>
  <si>
    <t>Risk Treatment Safeguard Maturity Score</t>
  </si>
  <si>
    <t>Used for "Safeguard Maturity Score" and "Risk Treatment Safeguard Maturity Score"</t>
  </si>
  <si>
    <t>Q3</t>
  </si>
  <si>
    <t>Q4</t>
  </si>
  <si>
    <t>Q1</t>
  </si>
  <si>
    <t>Maturity Scores</t>
  </si>
  <si>
    <t>Risk Treatment Option</t>
  </si>
  <si>
    <t>Safeguard is tested and inconsistencies are corrected.</t>
  </si>
  <si>
    <t>Safeguard has mechanisms that ensure consistent implementation over time.</t>
  </si>
  <si>
    <t>All data on this page is considered sample data only, and not meant to reflect an individual organization's risk register. Only to be used for demonstration purposes.</t>
  </si>
  <si>
    <t>Add unapproved software to incident response plan.</t>
  </si>
  <si>
    <t>Use PAM for all admin accounts.</t>
  </si>
  <si>
    <t>Configure end-user systems to automatically apply patches from vendor.</t>
  </si>
  <si>
    <t>Use application whitelisting.</t>
  </si>
  <si>
    <t>Implement a NAC.</t>
  </si>
  <si>
    <t>CIS-Hosted CSAT</t>
  </si>
  <si>
    <t>CIS-Hosted CSAT for CIS Controls v7.1</t>
  </si>
  <si>
    <t>Calculated Numerical Score</t>
  </si>
  <si>
    <t>CIS-Hosted CSAT for CIS Controls v8.0</t>
  </si>
  <si>
    <t>v7.1 IG1 Safeguard #</t>
  </si>
  <si>
    <t>CSAT Pro Export Score</t>
  </si>
  <si>
    <t>CSAT Pro Score (Stripped)</t>
  </si>
  <si>
    <t>v8 IG1 Safeguard #</t>
  </si>
  <si>
    <t>Policy Defined</t>
  </si>
  <si>
    <t>Control Implemented</t>
  </si>
  <si>
    <t>Control Automated</t>
  </si>
  <si>
    <t>Control Reported</t>
  </si>
  <si>
    <t>5 (81-100%)</t>
  </si>
  <si>
    <t>Approved Written Policy</t>
  </si>
  <si>
    <t>Implemented on Most Systems</t>
  </si>
  <si>
    <t>Automated on All Systems</t>
  </si>
  <si>
    <t>Reported on Some Systems</t>
  </si>
  <si>
    <t>3 (41-60%)</t>
  </si>
  <si>
    <t>Partially Written Policy</t>
  </si>
  <si>
    <t>Implemented on Some Systems</t>
  </si>
  <si>
    <t>Automated on Some Systems</t>
  </si>
  <si>
    <t>Reported on Most Systems</t>
  </si>
  <si>
    <t>4 (61-80%)</t>
  </si>
  <si>
    <t>Implemented on All Systems</t>
  </si>
  <si>
    <t>Reported on All Systems</t>
  </si>
  <si>
    <t>Automated on Most Systems</t>
  </si>
  <si>
    <t>2 (21-40%)</t>
  </si>
  <si>
    <t>Informal Policy</t>
  </si>
  <si>
    <t>Parts of Policy Implemented</t>
  </si>
  <si>
    <t>Parts of Policy Automated</t>
  </si>
  <si>
    <t>Not Applicable</t>
  </si>
  <si>
    <t>No Policy</t>
  </si>
  <si>
    <t>Not Implemented</t>
  </si>
  <si>
    <t>Not Reported</t>
  </si>
  <si>
    <t>Not Available</t>
  </si>
  <si>
    <t>Not Automated</t>
  </si>
  <si>
    <t>Written Policy</t>
  </si>
  <si>
    <t>None</t>
  </si>
  <si>
    <t>CIS-Hosted CSAT Maturity Scores</t>
  </si>
  <si>
    <t>Parts of Policy Reported</t>
  </si>
  <si>
    <t>Unknown - Unscored</t>
  </si>
  <si>
    <t>Unknown - N/A</t>
  </si>
  <si>
    <t>CIS-Hosted CSAT Values From XLSX Export</t>
  </si>
  <si>
    <t>https://www.cisecurity.org/controls/v8/</t>
  </si>
  <si>
    <t>https://workbench.cisecurity.org/dashboard</t>
  </si>
  <si>
    <t>Instructions for Importing CIS-Hosted CSAT Scores into CIS RAM</t>
  </si>
  <si>
    <r>
      <t>1)</t>
    </r>
    <r>
      <rPr>
        <sz val="7"/>
        <color theme="1"/>
        <rFont val="Arial"/>
        <family val="2"/>
      </rPr>
      <t xml:space="preserve">      </t>
    </r>
    <r>
      <rPr>
        <b/>
        <sz val="11"/>
        <color theme="1"/>
        <rFont val="Arial"/>
        <family val="2"/>
      </rPr>
      <t>In CIS-Hosted CSAT</t>
    </r>
    <r>
      <rPr>
        <sz val="11"/>
        <color theme="1"/>
        <rFont val="Arial"/>
        <family val="2"/>
      </rPr>
      <t>, filter on IG1 and export the filtered Safeguards</t>
    </r>
  </si>
  <si>
    <r>
      <t>c.</t>
    </r>
    <r>
      <rPr>
        <sz val="7"/>
        <color theme="1"/>
        <rFont val="Arial"/>
        <family val="2"/>
      </rPr>
      <t xml:space="preserve">       </t>
    </r>
    <r>
      <rPr>
        <sz val="11"/>
        <color theme="1"/>
        <rFont val="Arial"/>
        <family val="2"/>
      </rPr>
      <t>Find the appropriate section in the “CIS-Hosted CSAT” tab based on which CIS Controls version you are using (either CIS-Hosted CSAT for CIS Controls v7.1 or CIS-Hosted CSAT for CIS Controls v8.0).</t>
    </r>
  </si>
  <si>
    <t>CIS RAM Maturity Score Average</t>
  </si>
  <si>
    <t>CIS RAM Maturity Score Final</t>
  </si>
  <si>
    <r>
      <t>3)</t>
    </r>
    <r>
      <rPr>
        <sz val="7"/>
        <color theme="1"/>
        <rFont val="Arial"/>
        <family val="2"/>
      </rPr>
      <t xml:space="preserve">      </t>
    </r>
    <r>
      <rPr>
        <sz val="11"/>
        <color theme="1"/>
        <rFont val="Arial"/>
        <family val="2"/>
      </rPr>
      <t>Note: Adjustments may need to be made based on your scoring from CSAT to CIS RAM.</t>
    </r>
  </si>
  <si>
    <r>
      <t>4)</t>
    </r>
    <r>
      <rPr>
        <sz val="7"/>
        <color theme="1"/>
        <rFont val="Arial"/>
        <family val="2"/>
      </rPr>
      <t xml:space="preserve">      </t>
    </r>
    <r>
      <rPr>
        <sz val="11"/>
        <color theme="1"/>
        <rFont val="Arial"/>
        <family val="2"/>
      </rPr>
      <t>Once scores are final, copy the scores in the “CIS RAM Maturity Score Final” column into the "Safeguard Maturity Score" column of the appropriate CIS RAM tab – “Risk Register 7.1 for IG1” for v7.1 of the CIS Controls or “Risk Register 8 for IG1” for v8 of the CIS Controls.</t>
    </r>
  </si>
  <si>
    <r>
      <t>4)</t>
    </r>
    <r>
      <rPr>
        <sz val="7"/>
        <color theme="1"/>
        <rFont val="Arial"/>
        <family val="2"/>
      </rPr>
      <t xml:space="preserve">      </t>
    </r>
    <r>
      <rPr>
        <sz val="11"/>
        <color theme="1"/>
        <rFont val="Arial"/>
        <family val="2"/>
      </rPr>
      <t>Once scores are final, copy the scores in the “CIS RAM Maturity Score Final” column into the “Safeguard Maturity Score” column of the appropriate CIS RAM tab – “Risk Register 7.1 for IG1” for v7.1 of the CIS Controls or “Risk Register 8 for IG1” for v8 of the CIS Controls.</t>
    </r>
  </si>
  <si>
    <t>CIS CSAT Pro</t>
  </si>
  <si>
    <t>CIS CSAT Pro for CIS Controls v8.0</t>
  </si>
  <si>
    <t>CIS CSAT Pro for CIS Controls v7.1</t>
  </si>
  <si>
    <t>Instructions for Importing CIS CSAT Pro Scores into CIS RAM</t>
  </si>
  <si>
    <r>
      <t>1)</t>
    </r>
    <r>
      <rPr>
        <sz val="7"/>
        <color theme="1"/>
        <rFont val="Arial"/>
        <family val="2"/>
      </rPr>
      <t xml:space="preserve">      </t>
    </r>
    <r>
      <rPr>
        <b/>
        <sz val="11"/>
        <color theme="1"/>
        <rFont val="Arial"/>
        <family val="2"/>
      </rPr>
      <t>In CIS CSAT Pro</t>
    </r>
    <r>
      <rPr>
        <sz val="11"/>
        <color theme="1"/>
        <rFont val="Arial"/>
        <family val="2"/>
      </rPr>
      <t>, filter on IG1 and Export Filtered CSV.</t>
    </r>
  </si>
  <si>
    <t>Note: Please ensure that your enterprise's method for scoring Safeguards in CSAT Pro aligns closely enough with the CIS RAM Maturity Scores (defined below). Adjustments may need to be made based on your current scoring.</t>
  </si>
  <si>
    <r>
      <t xml:space="preserve">Note: This method will average the four scoring categories in CIS-Hosted CSAT for each Safeguard and aligns those averages with the CIS RAM Maturity Scores.  Please review the CIS RAM Maturity Scores, </t>
    </r>
    <r>
      <rPr>
        <b/>
        <u/>
        <sz val="11"/>
        <color rgb="FFFF0000"/>
        <rFont val="Arial"/>
        <family val="2"/>
      </rPr>
      <t>as defined below</t>
    </r>
    <r>
      <rPr>
        <b/>
        <sz val="11"/>
        <color rgb="FFFF0000"/>
        <rFont val="Arial"/>
        <family val="2"/>
      </rPr>
      <t>, to ensure this method aligns closely enough for your enterprise's scoring practices.</t>
    </r>
  </si>
  <si>
    <r>
      <t>b.</t>
    </r>
    <r>
      <rPr>
        <sz val="11"/>
        <color theme="1"/>
        <rFont val="Times New Roman"/>
        <family val="1"/>
      </rPr>
      <t>   </t>
    </r>
    <r>
      <rPr>
        <sz val="11"/>
        <color theme="1"/>
        <rFont val="Arial"/>
        <family val="2"/>
      </rPr>
      <t>Note: Values of ‘N’ and ‘DIV/0!’ may copy over from the “CIS CSAT Pro” and “CIS-Hosted CSAT” tabs, if present. If copied, these values can be deleted from the “Safeguard Maturity Score” cell and will not affect the functionality of the CIS RAM Risk Register.</t>
    </r>
  </si>
  <si>
    <r>
      <t>b.</t>
    </r>
    <r>
      <rPr>
        <sz val="11"/>
        <color theme="1"/>
        <rFont val="Times New Roman"/>
        <family val="1"/>
      </rPr>
      <t xml:space="preserve">    </t>
    </r>
    <r>
      <rPr>
        <sz val="11"/>
        <color theme="1"/>
        <rFont val="Arial"/>
        <family val="2"/>
      </rPr>
      <t>Note: Values of ‘N’ and ‘DIV/0!’ may copy over from the “CIS CSAT Pro” and “CIS-Hosted CSAT” tabs, if present. If copied, these values can be deleted from the “Safeguard Maturity Score” cell and will not affect the functionality of the CIS RAM Risk Register.</t>
    </r>
  </si>
  <si>
    <t>Address Unapproved Software</t>
  </si>
  <si>
    <t>All data on this page is considered sample data only, and not meant to reflect an individual organization's CSAT/RAM scoring. Only to be used for demonstration purposes.</t>
  </si>
  <si>
    <r>
      <t>a.</t>
    </r>
    <r>
      <rPr>
        <sz val="7"/>
        <color theme="1"/>
        <rFont val="Arial"/>
        <family val="2"/>
      </rPr>
      <t xml:space="preserve">       </t>
    </r>
    <r>
      <rPr>
        <sz val="11"/>
        <color theme="1"/>
        <rFont val="Arial"/>
        <family val="2"/>
      </rPr>
      <t>Go to the Assessment Summary page for the assessment of interest (this is reachable from the Assessment Summary tab at the top of the Assessment Dashboard for that assessment).</t>
    </r>
  </si>
  <si>
    <r>
      <t>b.</t>
    </r>
    <r>
      <rPr>
        <sz val="7"/>
        <color theme="1"/>
        <rFont val="Arial"/>
        <family val="2"/>
      </rPr>
      <t xml:space="preserve">       </t>
    </r>
    <r>
      <rPr>
        <sz val="11"/>
        <color theme="1"/>
        <rFont val="Arial"/>
        <family val="2"/>
      </rPr>
      <t>Click the Filter button.</t>
    </r>
  </si>
  <si>
    <r>
      <t>c.</t>
    </r>
    <r>
      <rPr>
        <sz val="7"/>
        <color theme="1"/>
        <rFont val="Arial"/>
        <family val="2"/>
      </rPr>
      <t xml:space="preserve">       </t>
    </r>
    <r>
      <rPr>
        <sz val="11"/>
        <color theme="1"/>
        <rFont val="Arial"/>
        <family val="2"/>
      </rPr>
      <t>Select "IG-1" for the Implementation Group filter and click Search.</t>
    </r>
  </si>
  <si>
    <r>
      <t>d.</t>
    </r>
    <r>
      <rPr>
        <sz val="7"/>
        <color theme="1"/>
        <rFont val="Arial"/>
        <family val="2"/>
      </rPr>
      <t xml:space="preserve">       </t>
    </r>
    <r>
      <rPr>
        <sz val="11"/>
        <color theme="1"/>
        <rFont val="Arial"/>
        <family val="2"/>
      </rPr>
      <t>Click the "Export Filtered CSV" button to export the report.</t>
    </r>
  </si>
  <si>
    <r>
      <t>2)</t>
    </r>
    <r>
      <rPr>
        <sz val="7"/>
        <color theme="1"/>
        <rFont val="Arial"/>
        <family val="2"/>
      </rPr>
      <t xml:space="preserve">      </t>
    </r>
    <r>
      <rPr>
        <sz val="11"/>
        <color theme="1"/>
        <rFont val="Arial"/>
        <family val="2"/>
      </rPr>
      <t>Copy your scores from the exported CSAT Pro CSV file</t>
    </r>
    <r>
      <rPr>
        <b/>
        <sz val="11"/>
        <color theme="1"/>
        <rFont val="Arial"/>
        <family val="2"/>
      </rPr>
      <t xml:space="preserve"> to the CIS RAM for IG1 Workbook</t>
    </r>
    <r>
      <rPr>
        <sz val="11"/>
        <color theme="1"/>
        <rFont val="Arial"/>
        <family val="2"/>
      </rPr>
      <t>.</t>
    </r>
  </si>
  <si>
    <r>
      <t>a.</t>
    </r>
    <r>
      <rPr>
        <sz val="7"/>
        <color theme="1"/>
        <rFont val="Arial"/>
        <family val="2"/>
      </rPr>
      <t xml:space="preserve">       </t>
    </r>
    <r>
      <rPr>
        <sz val="11"/>
        <color theme="1"/>
        <rFont val="Arial"/>
        <family val="2"/>
      </rPr>
      <t>In the CSAT Pro CSV file, copy the contents of column E (labeled “Sub-Control Score”) excluding the heading row.</t>
    </r>
  </si>
  <si>
    <r>
      <t>b.</t>
    </r>
    <r>
      <rPr>
        <sz val="11"/>
        <color rgb="FF1B2B38"/>
        <rFont val="Times New Roman"/>
        <family val="1"/>
      </rPr>
      <t>   </t>
    </r>
    <r>
      <rPr>
        <sz val="11"/>
        <color rgb="FF1B2B38"/>
        <rFont val="Arial"/>
        <family val="2"/>
      </rPr>
      <t>Go to the “CIS CSAT Pro” tab in the CIS RAM for IG1 Workbook.</t>
    </r>
  </si>
  <si>
    <r>
      <t>c.</t>
    </r>
    <r>
      <rPr>
        <sz val="7"/>
        <color theme="1"/>
        <rFont val="Arial"/>
        <family val="2"/>
      </rPr>
      <t xml:space="preserve">       </t>
    </r>
    <r>
      <rPr>
        <sz val="11"/>
        <color theme="1"/>
        <rFont val="Arial"/>
        <family val="2"/>
      </rPr>
      <t>Find the appropriate section in the “CIS CSAT Pro” tab based on which CIS Controls version you are using (either CSAT Pro for CIS Controls v7.1 or CSAT Pro for CIS Controls v8.0).</t>
    </r>
  </si>
  <si>
    <r>
      <t>d.</t>
    </r>
    <r>
      <rPr>
        <sz val="7"/>
        <color theme="1"/>
        <rFont val="Arial"/>
        <family val="2"/>
      </rPr>
      <t xml:space="preserve">       </t>
    </r>
    <r>
      <rPr>
        <sz val="11"/>
        <color theme="1"/>
        <rFont val="Arial"/>
        <family val="2"/>
      </rPr>
      <t>Paste the copied data into the appropriate section of the “CIS CSAT Pro” tab.</t>
    </r>
  </si>
  <si>
    <r>
      <t>a.</t>
    </r>
    <r>
      <rPr>
        <sz val="7"/>
        <color theme="1"/>
        <rFont val="Arial"/>
        <family val="2"/>
      </rPr>
      <t xml:space="preserve">       </t>
    </r>
    <r>
      <rPr>
        <sz val="11"/>
        <color theme="1"/>
        <rFont val="Arial"/>
        <family val="2"/>
      </rPr>
      <t>Go to the All Controls page for the assessment of interest (this is reachable from the All Controls link on the menu on the left under “Current Assessment”).</t>
    </r>
  </si>
  <si>
    <r>
      <t>c.</t>
    </r>
    <r>
      <rPr>
        <sz val="7"/>
        <color theme="1"/>
        <rFont val="Arial"/>
        <family val="2"/>
      </rPr>
      <t xml:space="preserve">       </t>
    </r>
    <r>
      <rPr>
        <sz val="11"/>
        <color theme="1"/>
        <rFont val="Arial"/>
        <family val="2"/>
      </rPr>
      <t>Select “Group 1” for the Implementation Group filter and click Filter.</t>
    </r>
  </si>
  <si>
    <r>
      <rPr>
        <sz val="11"/>
        <color theme="1"/>
        <rFont val="Arial"/>
        <family val="2"/>
      </rPr>
      <t>i.</t>
    </r>
    <r>
      <rPr>
        <sz val="7"/>
        <color theme="1"/>
        <rFont val="Arial"/>
        <family val="2"/>
      </rPr>
      <t xml:space="preserve">      </t>
    </r>
    <r>
      <rPr>
        <sz val="11"/>
        <color theme="1"/>
        <rFont val="Arial"/>
        <family val="2"/>
      </rPr>
      <t>Select the checkbox next to each blue Safeguard</t>
    </r>
    <r>
      <rPr>
        <sz val="7"/>
        <color theme="1"/>
        <rFont val="Arial"/>
        <family val="2"/>
      </rPr>
      <t>.</t>
    </r>
  </si>
  <si>
    <r>
      <t>e.</t>
    </r>
    <r>
      <rPr>
        <sz val="7"/>
        <color theme="1"/>
        <rFont val="Arial"/>
        <family val="2"/>
      </rPr>
      <t xml:space="preserve">       </t>
    </r>
    <r>
      <rPr>
        <sz val="11"/>
        <color theme="1"/>
        <rFont val="Arial"/>
        <family val="2"/>
      </rPr>
      <t>Click the Download Report button to export the report.</t>
    </r>
  </si>
  <si>
    <r>
      <t>2)</t>
    </r>
    <r>
      <rPr>
        <sz val="7"/>
        <color theme="1"/>
        <rFont val="Arial"/>
        <family val="2"/>
      </rPr>
      <t xml:space="preserve">      </t>
    </r>
    <r>
      <rPr>
        <sz val="11"/>
        <color theme="1"/>
        <rFont val="Arial"/>
        <family val="2"/>
      </rPr>
      <t xml:space="preserve">Copy your scores from the exported CIS-Hosted CSAT XLSX file </t>
    </r>
    <r>
      <rPr>
        <b/>
        <sz val="11"/>
        <color theme="1"/>
        <rFont val="Arial"/>
        <family val="2"/>
      </rPr>
      <t>to the CIS RAM for IG1 Workbook</t>
    </r>
    <r>
      <rPr>
        <sz val="11"/>
        <color theme="1"/>
        <rFont val="Arial"/>
        <family val="2"/>
      </rPr>
      <t>.</t>
    </r>
  </si>
  <si>
    <r>
      <t>a.</t>
    </r>
    <r>
      <rPr>
        <sz val="7"/>
        <color theme="1"/>
        <rFont val="Arial"/>
        <family val="2"/>
      </rPr>
      <t xml:space="preserve">       </t>
    </r>
    <r>
      <rPr>
        <sz val="11"/>
        <color theme="1"/>
        <rFont val="Arial"/>
        <family val="2"/>
      </rPr>
      <t>In the CIS-Hosted CSAT XLSX file, copy the contents of columns E through H (labeled Policy Defined, Control Implemented, Control Automated, and Control Reported) excluding the heading row.</t>
    </r>
  </si>
  <si>
    <r>
      <t>b.</t>
    </r>
    <r>
      <rPr>
        <sz val="7"/>
        <color theme="1"/>
        <rFont val="Arial"/>
        <family val="2"/>
      </rPr>
      <t xml:space="preserve">       </t>
    </r>
    <r>
      <rPr>
        <sz val="11"/>
        <color theme="1"/>
        <rFont val="Arial"/>
        <family val="2"/>
      </rPr>
      <t>Go to the “CIS-Hosted CSAT” tab in the CIS RAM for IG1 Workbook.</t>
    </r>
  </si>
  <si>
    <r>
      <t>d.</t>
    </r>
    <r>
      <rPr>
        <sz val="7"/>
        <color theme="1"/>
        <rFont val="Arial"/>
        <family val="2"/>
      </rPr>
      <t xml:space="preserve">       </t>
    </r>
    <r>
      <rPr>
        <sz val="11"/>
        <color theme="1"/>
        <rFont val="Arial"/>
        <family val="2"/>
      </rPr>
      <t>Paste the copied data into the appropriate section of the “CIS-Hosted CSAT” tab.</t>
    </r>
  </si>
  <si>
    <r>
      <t>a.</t>
    </r>
    <r>
      <rPr>
        <sz val="7"/>
        <color theme="1"/>
        <rFont val="Arial"/>
        <family val="2"/>
      </rPr>
      <t xml:space="preserve">       </t>
    </r>
    <r>
      <rPr>
        <sz val="11"/>
        <color theme="1"/>
        <rFont val="Arial"/>
        <family val="2"/>
      </rPr>
      <t>Right-click to copy and "Paste Special" as "Values" (e.g., 1,2,3).</t>
    </r>
  </si>
  <si>
    <r>
      <rPr>
        <sz val="11"/>
        <color theme="1"/>
        <rFont val="Arial"/>
        <family val="2"/>
      </rPr>
      <t>ii.</t>
    </r>
    <r>
      <rPr>
        <sz val="7"/>
        <color theme="1"/>
        <rFont val="Arial"/>
        <family val="2"/>
      </rPr>
      <t xml:space="preserve">      </t>
    </r>
    <r>
      <rPr>
        <sz val="11"/>
        <color theme="1"/>
        <rFont val="Arial"/>
        <family val="2"/>
      </rPr>
      <t>Select “Un-Assign the control” from the Bulk Action option dropdown and click the “Save” button next to the dropdown.</t>
    </r>
    <r>
      <rPr>
        <b/>
        <sz val="11"/>
        <color theme="1"/>
        <rFont val="Arial"/>
        <family val="2"/>
      </rPr>
      <t xml:space="preserve"> Please note:</t>
    </r>
    <r>
      <rPr>
        <sz val="11"/>
        <color theme="1"/>
        <rFont val="Arial"/>
        <family val="2"/>
      </rPr>
      <t xml:space="preserve"> If any of the selected Safeguards were assigned, this will remove the assignee and the due date.</t>
    </r>
  </si>
  <si>
    <t>Title</t>
  </si>
  <si>
    <t>Join our Community where you can discuss the CIS Controls with our global army of experts and volunteers!</t>
  </si>
  <si>
    <t>This is a free tool with a dynamic list of the CIS Safeguards that can be filtered by Implementation Groups and  mappings to multiple frameworks.</t>
  </si>
  <si>
    <t>Ensure that there are written incident response plans that define roles of personnel as well as phases of incident handling/management.</t>
  </si>
  <si>
    <t>Ensure that all system data is automatically backed up on a regular basis.</t>
  </si>
  <si>
    <t>What is the highest impact to the Mission, Operational Objectives, and Obligations that each asset type could cause? To make this simple, add values ('1' through '3') for "Enterprise" only and leave the indented rows below "Enterprise" blank. If you wish to estimate risks for each Asset Class, you must also add values to the rows that contain the Asset Classes you wish to analyze.</t>
  </si>
  <si>
    <t>What is the highest impact to the Mission, Operational Objectives, and Obligations that each Asset Type could cause? To make this simple, add values ('1' through '3') for "Enterprise" only and leave the indented rows below "Enterprise" blank. If you wish to estimate risks for each Asset Class, you must also add values to the rows that contain the Asset Classes you wish to analyze.</t>
  </si>
  <si>
    <r>
      <t>d.</t>
    </r>
    <r>
      <rPr>
        <sz val="7"/>
        <color theme="1"/>
        <rFont val="Arial"/>
        <family val="2"/>
      </rPr>
      <t xml:space="preserve">       </t>
    </r>
    <r>
      <rPr>
        <sz val="11"/>
        <color theme="1"/>
        <rFont val="Arial"/>
        <family val="2"/>
      </rPr>
      <t>Check to see if any of these Safeguards are in the blue (Not Assessed) state. You can see this in the “#” column – there will be a colored circle in each row by the Safeguard number. Any Safeguards that have a blue circle there will not export; if you have any blue Safeguards and you want to continue these steps, one way to get them out of the blue state is to:</t>
    </r>
  </si>
  <si>
    <t>Automated or fixed values on the Risk Treatment side of the Risk Register. While the worksheet is in protected mode, these values cannot be changed.</t>
  </si>
  <si>
    <t>Automated or fixed values on the Risk Analysis side of the Risk Register. While the worksheet is in protected mode, these values cannot be changed.</t>
  </si>
  <si>
    <t>The unique CIS Safeguard identifier, as published in the CIS Controls.</t>
  </si>
  <si>
    <t>The title of the CIS Safeguard, as published in the CIS Controls.</t>
  </si>
  <si>
    <t>The asset class, as published in the CIS Controls.</t>
  </si>
  <si>
    <t>An automatically calculated value to represent how common the related threat is as a cause for reported cybersecurity incidents.</t>
  </si>
  <si>
    <t>An automatically calculated value to represent how commonly the related threat would be the cause of a cybersecurity incident, given your current Safeguard.</t>
  </si>
  <si>
    <t>The magnitude of harm that a successful threat would cause to your Mission.</t>
  </si>
  <si>
    <t>The magnitude of harm that a successful threat would cause to your Operational Objectives.</t>
  </si>
  <si>
    <t>The magnitude of harm that a successful threat would cause to your Obligations.</t>
  </si>
  <si>
    <t>An evaluation of the risk as acceptable, unacceptable, or catastrophic.</t>
  </si>
  <si>
    <t>A statement about whether the enterprise will accept or reduce the risk.</t>
  </si>
  <si>
    <t>The description of the CIS Safeguard, as published in the CIS Controls.</t>
  </si>
  <si>
    <t>A brief description of how the Safeguard will be implemented and operated in the enterprise.</t>
  </si>
  <si>
    <t>An automatically calculated value to represent how commonly the related threat would be the cause of a cybersecurity incident, given the planned Safeguard.</t>
  </si>
  <si>
    <t>A determination of whether the planned Safeguard is reasonable and acceptable.</t>
  </si>
  <si>
    <t>An estimate of how much the Safeguard is expected to cost.</t>
  </si>
  <si>
    <t>When the Safeguard is planned for completion of implementation (which quarter).</t>
  </si>
  <si>
    <t>When the Safeguard is planned for completion of implementation (which year).</t>
  </si>
  <si>
    <t>The risk is not expected in this environment.</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</si>
  <si>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       </t>
  </si>
  <si>
    <t>CIS CSAT (Controls Self Assessment Tool)</t>
  </si>
  <si>
    <r>
      <t>Overview:</t>
    </r>
    <r>
      <rPr>
        <sz val="11"/>
        <color rgb="FF172B4D"/>
        <rFont val="Arial"/>
        <family val="2"/>
      </rPr>
      <t xml:space="preserve"> The CIS Controls® Self Assessment Tool, also known as CIS CSAT, enables organizations to assess and track their implementation of the CIS Controls for Versions 8 and 7.1. The CIS Controls are a prioritized set of consensus-developed security best practices used by organizations around the world to defend against cyber threats.</t>
    </r>
  </si>
  <si>
    <t>TWO TYPES:</t>
  </si>
  <si>
    <r>
      <t xml:space="preserve">CIS-Hosted CSAT: </t>
    </r>
    <r>
      <rPr>
        <sz val="11"/>
        <color rgb="FF172B4D"/>
        <rFont val="Arial"/>
        <family val="2"/>
      </rPr>
      <t>The CIS-hosted version of CIS CSAT is free to every organization for use in a non-commercial capacity to conduct CIS Controls assessments of their organization. (released January 2019)</t>
    </r>
  </si>
  <si>
    <t>https://csat.cisecurity.org/</t>
  </si>
  <si>
    <r>
      <t xml:space="preserve">CIS CSAT Pro: </t>
    </r>
    <r>
      <rPr>
        <sz val="11"/>
        <color rgb="FF172B4D"/>
        <rFont val="Arial"/>
        <family val="2"/>
      </rPr>
      <t>The on-premises version of CIS CSAT is available exclusively for CIS SecureSuite Members. This version offers additional features and benefits: Save time by using a simplified scoring method with a reduced number of questions, Decide whether to opt in to share data and see how scores compare to industry average, Greater flexibility with organization trees for tracking organizations, sub-organizations, and assessments, Assign users to different roles for different organizations/sub-organizations as well as greater separation of administrative and non-administrative roles, Track multiple concurrent assessments in the same organization, Easily access your tasks, assessments, and organizations from a consolidated home page, Includes CIS Controls Safeguard mappings to NIST CSF, NIST SP 800-53, and PCI. (released August 2020)</t>
    </r>
  </si>
  <si>
    <t>https://www.cisecurity.org/controls/cis-controls-self-assessment-tool-cis-csat/</t>
  </si>
  <si>
    <t>Ensure that unauthorized assets are either removed from the network, quarantined, or the inventory is updated in a timely manner.</t>
  </si>
  <si>
    <t>Ensure that unauthorized software is either removed or the inventory is updated in a timely manner.</t>
  </si>
  <si>
    <t>Train the workforce on how to identify different forms of social engineering attacks, such as phishing, phone scams, and impersonation calls.</t>
  </si>
  <si>
    <t>Train workforce on how to identify and properly store, transfer, archive, and destroy sensitive information.</t>
  </si>
  <si>
    <t>A score of '1' through '5' designating the reliability of a Safeguard's effectiveness against threats.</t>
  </si>
  <si>
    <t>A score of '1' through '5' designating the planned reliability of a Safeguard's effectiveness against threats.</t>
  </si>
  <si>
    <r>
      <t>e.</t>
    </r>
    <r>
      <rPr>
        <sz val="7"/>
        <color theme="1"/>
        <rFont val="Arial"/>
        <family val="2"/>
      </rPr>
      <t xml:space="preserve">       </t>
    </r>
    <r>
      <rPr>
        <sz val="11"/>
        <color theme="1"/>
        <rFont val="Arial"/>
        <family val="2"/>
      </rPr>
      <t>For instance, if you are using Controls v7.1, you might copy cells E2 to E44 from the CSAT Pro CSV to C5 to C47 in the “CIS CSAT Pro” tab of the CIS RAM for IG1 Workbook.</t>
    </r>
  </si>
  <si>
    <r>
      <t>e.</t>
    </r>
    <r>
      <rPr>
        <sz val="7"/>
        <color theme="1"/>
        <rFont val="Arial"/>
        <family val="2"/>
      </rPr>
      <t xml:space="preserve">       </t>
    </r>
    <r>
      <rPr>
        <sz val="11"/>
        <color theme="1"/>
        <rFont val="Arial"/>
        <family val="2"/>
      </rPr>
      <t>For instance, if you are using Controls v7.1, you might copy the cells from E2:E44 over to H2:H44 from the CIS-Hosted CSAT XLSX file, select cell C14 in the “CIS-Hosted CSAT” tab in the CIS RAM for IG1 Workbook and paste them there.</t>
    </r>
  </si>
  <si>
    <t>Expectancy Score</t>
  </si>
  <si>
    <t>Risk Treatment
Safeguard Expectancy Score</t>
  </si>
  <si>
    <t>Enterprise Risk Assessment Criteria</t>
  </si>
  <si>
    <t>Reasonable Annual Cost</t>
  </si>
  <si>
    <t>Used for "Expectancy Score" and "Risk Treatment Safeguard Expectancy Score"</t>
  </si>
  <si>
    <t>Expectancy Scores</t>
  </si>
  <si>
    <t>Expectancy Definition</t>
  </si>
  <si>
    <t>Used to calculate "Expectancy Score" and "Risk Treatment Safeguard Expectancy Score"</t>
  </si>
  <si>
    <t>Expectancy</t>
  </si>
  <si>
    <t>Automated or fixed values on the Reasonable Annual Cost side of the Risk Register. While the worksheet is in protected mode, these values cannot be changed.</t>
  </si>
  <si>
    <t xml:space="preserve">The total Risk Treatment Safeguard Cost for the year. </t>
  </si>
  <si>
    <t>The year the total cost was incurred.</t>
  </si>
  <si>
    <t xml:space="preserve">Whether or not the total cost falls above or below the acceptable limit, based on the Acceptable Criteria for the enterprise's Financial Objectives. </t>
  </si>
  <si>
    <t>Risk Treatment Safeguard Expectancy Score</t>
  </si>
  <si>
    <t>Expectancy Criteria</t>
  </si>
  <si>
    <t>Risk Levels</t>
  </si>
  <si>
    <t>Red</t>
  </si>
  <si>
    <r>
      <t>Red indicates that the risk is “urgent.”</t>
    </r>
    <r>
      <rPr>
        <sz val="8"/>
        <color rgb="FF1B2B38"/>
        <rFont val="Arial"/>
        <family val="2"/>
      </rPr>
      <t> </t>
    </r>
  </si>
  <si>
    <t>Yellow</t>
  </si>
  <si>
    <t>Yellow indicates that the risk is “unacceptably high, but not urgent.”</t>
  </si>
  <si>
    <t>Green</t>
  </si>
  <si>
    <t>Green indicates that the risk evaluates as “acceptable.”</t>
  </si>
  <si>
    <t>The product of the Expectancy and the highest of the three Impacts.</t>
  </si>
  <si>
    <t>The product of the Expectancy and the highest of the three impacts, given the planned Safeguard.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</si>
</sst>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43" x14ac:knownFonts="1">
    <font>
      <sz val="11"/>
      <color theme="1"/>
      <name val="Calibri"/>
      <family val="2"/>
      <scheme val="minor"/>
    </font>
    <font>
      <sz val="11"/>
      <color theme="1"/>
      <name val="Arial"/>
      <family val="2"/>
    </font>
    <font>
      <sz val="11"/>
      <color theme="1"/>
      <name val="Calibri"/>
      <family val="2"/>
      <scheme val="minor"/>
    </font>
    <font>
      <b/>
      <sz val="10"/>
      <color theme="0"/>
      <name val="Arial"/>
      <family val="2"/>
    </font>
    <font>
      <b/>
      <sz val="10"/>
      <color theme="1"/>
      <name val="Arial"/>
      <family val="2"/>
    </font>
    <font>
      <sz val="10"/>
      <color theme="1"/>
      <name val="Arial"/>
      <family val="2"/>
    </font>
    <font>
      <b/>
      <i/>
      <u/>
      <sz val="10"/>
      <color rgb="FF7030A0"/>
      <name val="Arial"/>
      <family val="2"/>
    </font>
    <font>
      <b/>
      <sz val="10"/>
      <color rgb="FF7030A0"/>
      <name val="Arial"/>
      <family val="2"/>
    </font>
    <font>
      <sz val="10"/>
      <color rgb="FF000000"/>
      <name val="Arial"/>
      <family val="2"/>
    </font>
    <font>
      <b/>
      <i/>
      <u/>
      <sz val="10"/>
      <color theme="1"/>
      <name val="Arial"/>
      <family val="2"/>
    </font>
    <font>
      <i/>
      <sz val="10"/>
      <color rgb="FF000000"/>
      <name val="Arial"/>
      <family val="2"/>
    </font>
    <font>
      <i/>
      <sz val="10"/>
      <name val="Arial"/>
      <family val="2"/>
    </font>
    <font>
      <b/>
      <i/>
      <u/>
      <sz val="10"/>
      <color rgb="FF000000"/>
      <name val="Arial"/>
      <family val="2"/>
    </font>
    <font>
      <b/>
      <sz val="11"/>
      <color theme="1"/>
      <name val="Arial"/>
      <family val="2"/>
    </font>
    <font>
      <sz val="11"/>
      <color theme="1"/>
      <name val="Arial"/>
      <family val="2"/>
    </font>
    <font>
      <b/>
      <i/>
      <sz val="10"/>
      <color theme="0"/>
      <name val="Arial"/>
      <family val="2"/>
    </font>
    <font>
      <sz val="10"/>
      <color rgb="FF1B2B38"/>
      <name val="Arial"/>
      <family val="2"/>
    </font>
    <font>
      <sz val="9"/>
      <color indexed="81"/>
      <name val="Tahoma"/>
      <family val="2"/>
    </font>
    <font>
      <sz val="20"/>
      <color theme="1"/>
      <name val="Arial"/>
      <family val="2"/>
    </font>
    <font>
      <sz val="7"/>
      <color theme="1"/>
      <name val="Arial"/>
      <family val="2"/>
    </font>
    <font>
      <b/>
      <sz val="36"/>
      <color theme="1"/>
      <name val="Arial"/>
      <family val="2"/>
    </font>
    <font>
      <b/>
      <sz val="12"/>
      <color rgb="FFFF0000"/>
      <name val="Arial"/>
      <family val="2"/>
    </font>
    <font>
      <b/>
      <sz val="22"/>
      <color theme="1"/>
      <name val="Arial"/>
      <family val="2"/>
    </font>
    <font>
      <b/>
      <sz val="35"/>
      <color theme="1"/>
      <name val="Arial"/>
      <family val="2"/>
    </font>
    <font>
      <u/>
      <sz val="11"/>
      <color theme="10"/>
      <name val="Calibri"/>
      <family val="2"/>
      <scheme val="minor"/>
    </font>
    <font>
      <u/>
      <sz val="11"/>
      <color theme="10"/>
      <name val="Arial"/>
      <family val="2"/>
    </font>
    <font>
      <sz val="20"/>
      <color rgb="FF003B5C"/>
      <name val="Arial"/>
      <family val="2"/>
    </font>
    <font>
      <b/>
      <sz val="11"/>
      <color rgb="FFFF0000"/>
      <name val="Arial"/>
      <family val="2"/>
    </font>
    <font>
      <b/>
      <u/>
      <sz val="11"/>
      <color rgb="FFFF0000"/>
      <name val="Arial"/>
      <family val="2"/>
    </font>
    <font>
      <sz val="11"/>
      <color theme="1"/>
      <name val="Times New Roman"/>
      <family val="1"/>
    </font>
    <font>
      <b/>
      <sz val="20"/>
      <color rgb="FFFF0000"/>
      <name val="Arial"/>
      <family val="2"/>
    </font>
    <font>
      <sz val="11"/>
      <color rgb="FF1B2B38"/>
      <name val="Arial"/>
      <family val="2"/>
    </font>
    <font>
      <sz val="11"/>
      <color rgb="FF1B2B38"/>
      <name val="Times New Roman"/>
      <family val="1"/>
    </font>
    <font>
      <b/>
      <sz val="11"/>
      <color rgb="FF172B4D"/>
      <name val="Arial"/>
      <family val="2"/>
    </font>
    <font>
      <sz val="11"/>
      <color rgb="FF172B4D"/>
      <name val="Arial"/>
      <family val="2"/>
    </font>
    <font>
      <sz val="12"/>
      <color rgb="FF172B4D"/>
      <name val="Segoe UI"/>
      <family val="2"/>
    </font>
    <font>
      <sz val="28"/>
      <color rgb="FFFF0000"/>
      <name val="Arial"/>
      <family val="2"/>
    </font>
    <font>
      <b/>
      <sz val="10"/>
      <color rgb="FFFF0000"/>
      <name val="Arial"/>
      <family val="2"/>
    </font>
    <font>
      <sz val="10"/>
      <color rgb="FFFF0000"/>
      <name val="Arial"/>
      <family val="2"/>
    </font>
    <font>
      <b/>
      <sz val="12"/>
      <color theme="0"/>
      <name val="Arial"/>
      <family val="2"/>
    </font>
    <font>
      <b/>
      <sz val="12"/>
      <color theme="1"/>
      <name val="Arial"/>
      <family val="2"/>
    </font>
    <font>
      <b/>
      <sz val="11"/>
      <color theme="0"/>
      <name val="Arial"/>
      <family val="2"/>
    </font>
    <font>
      <sz val="8"/>
      <color rgb="FF1B2B38"/>
      <name val="Arial"/>
      <family val="2"/>
    </font>
  </fonts>
  <fills count="17">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rgb="FF92D050"/>
        <bgColor indexed="64"/>
      </patternFill>
    </fill>
    <fill>
      <patternFill patternType="solid">
        <fgColor rgb="FF00206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A391F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bottom style="thick">
        <color theme="0"/>
      </bottom>
      <diagonal/>
    </border>
    <border>
      <left/>
      <right style="medium">
        <color indexed="64"/>
      </right>
      <top/>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theme="0"/>
      </bottom>
      <diagonal/>
    </border>
    <border>
      <left style="medium">
        <color indexed="64"/>
      </left>
      <right/>
      <top style="medium">
        <color indexed="64"/>
      </top>
      <bottom style="thick">
        <color theme="0"/>
      </bottom>
      <diagonal/>
    </border>
    <border>
      <left/>
      <right/>
      <top style="medium">
        <color indexed="64"/>
      </top>
      <bottom style="thick">
        <color theme="0"/>
      </bottom>
      <diagonal/>
    </border>
    <border>
      <left/>
      <right style="medium">
        <color indexed="64"/>
      </right>
      <top style="medium">
        <color indexed="64"/>
      </top>
      <bottom style="thick">
        <color theme="0"/>
      </bottom>
      <diagonal/>
    </border>
    <border>
      <left style="medium">
        <color indexed="64"/>
      </left>
      <right style="thin">
        <color theme="0"/>
      </right>
      <top/>
      <bottom style="thick">
        <color theme="0"/>
      </bottom>
      <diagonal/>
    </border>
    <border>
      <left style="thin">
        <color theme="0"/>
      </left>
      <right style="medium">
        <color indexed="64"/>
      </right>
      <top/>
      <bottom style="thick">
        <color theme="0"/>
      </bottom>
      <diagonal/>
    </border>
    <border>
      <left style="medium">
        <color indexed="64"/>
      </left>
      <right style="medium">
        <color indexed="64"/>
      </right>
      <top style="thin">
        <color theme="0"/>
      </top>
      <bottom style="thin">
        <color theme="0"/>
      </bottom>
      <diagonal/>
    </border>
    <border>
      <left style="medium">
        <color indexed="64"/>
      </left>
      <right style="medium">
        <color indexed="64"/>
      </right>
      <top style="thin">
        <color theme="0"/>
      </top>
      <bottom style="medium">
        <color indexed="64"/>
      </bottom>
      <diagonal/>
    </border>
    <border>
      <left style="medium">
        <color indexed="64"/>
      </left>
      <right style="medium">
        <color indexed="64"/>
      </right>
      <top style="thick">
        <color theme="0"/>
      </top>
      <bottom style="thin">
        <color theme="0"/>
      </bottom>
      <diagonal/>
    </border>
    <border>
      <left style="medium">
        <color indexed="64"/>
      </left>
      <right/>
      <top/>
      <bottom style="thick">
        <color theme="0"/>
      </bottom>
      <diagonal/>
    </border>
    <border>
      <left/>
      <right style="medium">
        <color indexed="64"/>
      </right>
      <top/>
      <bottom style="thick">
        <color theme="0"/>
      </bottom>
      <diagonal/>
    </border>
    <border>
      <left style="medium">
        <color theme="0"/>
      </left>
      <right/>
      <top/>
      <bottom style="thick">
        <color theme="0"/>
      </bottom>
      <diagonal/>
    </border>
    <border>
      <left/>
      <right style="medium">
        <color theme="0"/>
      </right>
      <top/>
      <bottom style="thick">
        <color theme="0"/>
      </bottom>
      <diagonal/>
    </border>
    <border>
      <left style="medium">
        <color theme="0"/>
      </left>
      <right style="thin">
        <color theme="0"/>
      </right>
      <top/>
      <bottom style="thick">
        <color theme="0"/>
      </bottom>
      <diagonal/>
    </border>
    <border>
      <left style="medium">
        <color indexed="64"/>
      </left>
      <right style="medium">
        <color theme="0"/>
      </right>
      <top/>
      <bottom style="thick">
        <color theme="0"/>
      </bottom>
      <diagonal/>
    </border>
    <border>
      <left style="medium">
        <color indexed="64"/>
      </left>
      <right style="thin">
        <color theme="0"/>
      </right>
      <top style="thick">
        <color theme="0"/>
      </top>
      <bottom style="thin">
        <color theme="0"/>
      </bottom>
      <diagonal/>
    </border>
    <border>
      <left style="medium">
        <color theme="0"/>
      </left>
      <right/>
      <top/>
      <bottom/>
      <diagonal/>
    </border>
    <border>
      <left style="medium">
        <color indexed="64"/>
      </left>
      <right style="medium">
        <color indexed="64"/>
      </right>
      <top/>
      <bottom style="thick">
        <color theme="0"/>
      </bottom>
      <diagonal/>
    </border>
    <border>
      <left style="thick">
        <color indexed="64"/>
      </left>
      <right style="thin">
        <color indexed="64"/>
      </right>
      <top style="thick">
        <color indexed="64"/>
      </top>
      <bottom style="thin">
        <color indexed="64"/>
      </bottom>
      <diagonal/>
    </border>
    <border>
      <left/>
      <right/>
      <top style="thick">
        <color indexed="64"/>
      </top>
      <bottom/>
      <diagonal/>
    </border>
    <border>
      <left/>
      <right style="medium">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medium">
        <color indexed="64"/>
      </right>
      <top style="medium">
        <color indexed="64"/>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theme="0"/>
      </right>
      <top style="medium">
        <color indexed="64"/>
      </top>
      <bottom/>
      <diagonal/>
    </border>
    <border>
      <left style="medium">
        <color indexed="64"/>
      </left>
      <right style="thin">
        <color theme="0"/>
      </right>
      <top/>
      <bottom/>
      <diagonal/>
    </border>
    <border>
      <left style="medium">
        <color indexed="64"/>
      </left>
      <right/>
      <top style="medium">
        <color indexed="64"/>
      </top>
      <bottom/>
      <diagonal/>
    </border>
    <border>
      <left style="thin">
        <color theme="0"/>
      </left>
      <right/>
      <top style="medium">
        <color indexed="64"/>
      </top>
      <bottom style="thin">
        <color theme="0"/>
      </bottom>
      <diagonal/>
    </border>
    <border>
      <left style="medium">
        <color indexed="64"/>
      </left>
      <right/>
      <top/>
      <bottom/>
      <diagonal/>
    </border>
    <border>
      <left style="medium">
        <color indexed="64"/>
      </left>
      <right/>
      <top/>
      <bottom style="medium">
        <color indexed="64"/>
      </bottom>
      <diagonal/>
    </border>
    <border>
      <left style="thin">
        <color theme="0"/>
      </left>
      <right/>
      <top style="thin">
        <color theme="0"/>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theme="0"/>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theme="1"/>
      </left>
      <right style="thin">
        <color theme="1"/>
      </right>
      <top/>
      <bottom style="thin">
        <color theme="1"/>
      </bottom>
      <diagonal/>
    </border>
  </borders>
  <cellStyleXfs count="4">
    <xf numFmtId="0" fontId="0" fillId="0" borderId="0"/>
    <xf numFmtId="9" fontId="2" fillId="0" borderId="0" applyFont="0" applyFill="0" applyBorder="0" applyAlignment="0" applyProtection="0"/>
    <xf numFmtId="44" fontId="2" fillId="0" borderId="0" applyFont="0" applyFill="0" applyBorder="0" applyAlignment="0" applyProtection="0"/>
    <xf numFmtId="0" fontId="24" fillId="0" borderId="0" applyNumberFormat="0" applyFill="0" applyBorder="0" applyAlignment="0" applyProtection="0"/>
  </cellStyleXfs>
  <cellXfs count="325">
    <xf numFmtId="0" fontId="0" fillId="0" borderId="0" xfId="0"/>
    <xf numFmtId="0" fontId="4" fillId="7" borderId="1" xfId="0" applyFont="1" applyFill="1" applyBorder="1" applyAlignment="1">
      <alignment horizontal="left" vertical="center"/>
    </xf>
    <xf numFmtId="0" fontId="5" fillId="0" borderId="0" xfId="0" applyFont="1"/>
    <xf numFmtId="0" fontId="5" fillId="5" borderId="0" xfId="0" applyFont="1" applyFill="1" applyAlignment="1">
      <alignment horizontal="center" vertical="center"/>
    </xf>
    <xf numFmtId="0" fontId="5" fillId="5" borderId="0" xfId="0" applyFont="1" applyFill="1" applyAlignment="1">
      <alignment horizontal="left" vertical="center" wrapText="1"/>
    </xf>
    <xf numFmtId="0" fontId="4" fillId="8" borderId="1" xfId="0" applyFont="1" applyFill="1" applyBorder="1" applyAlignment="1">
      <alignment vertical="center"/>
    </xf>
    <xf numFmtId="0" fontId="4" fillId="4" borderId="0" xfId="0" applyFont="1" applyFill="1" applyAlignment="1">
      <alignment horizontal="center" vertical="center" wrapText="1"/>
    </xf>
    <xf numFmtId="0" fontId="4" fillId="6" borderId="0" xfId="0" applyFont="1" applyFill="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left" vertical="center"/>
    </xf>
    <xf numFmtId="0" fontId="5" fillId="0" borderId="0" xfId="0" applyFont="1" applyFill="1" applyAlignment="1">
      <alignment horizontal="left" vertical="center" wrapText="1"/>
    </xf>
    <xf numFmtId="44" fontId="5" fillId="0" borderId="0" xfId="2" applyFont="1" applyFill="1" applyAlignment="1" applyProtection="1">
      <alignment horizontal="left" vertical="center" wrapText="1"/>
      <protection locked="0"/>
    </xf>
    <xf numFmtId="44" fontId="5" fillId="8" borderId="0" xfId="2" applyFont="1" applyFill="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pplyProtection="1">
      <alignment horizontal="center" vertical="center" wrapText="1"/>
      <protection locked="0"/>
    </xf>
    <xf numFmtId="0" fontId="4" fillId="0" borderId="0" xfId="0" applyFont="1" applyAlignment="1">
      <alignment horizontal="left" vertical="center" indent="1"/>
    </xf>
    <xf numFmtId="0" fontId="5" fillId="0" borderId="0" xfId="0" applyFont="1" applyAlignment="1">
      <alignment horizontal="left" vertical="center"/>
    </xf>
    <xf numFmtId="0" fontId="4" fillId="3"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Alignment="1">
      <alignment wrapText="1"/>
    </xf>
    <xf numFmtId="0" fontId="5" fillId="5" borderId="0" xfId="0" applyFont="1" applyFill="1" applyAlignment="1">
      <alignment horizontal="center" vertical="center" wrapText="1"/>
    </xf>
    <xf numFmtId="0" fontId="8" fillId="0" borderId="0" xfId="0" applyNumberFormat="1" applyFont="1" applyFill="1" applyAlignment="1">
      <alignment horizontal="center" vertical="center" wrapText="1"/>
    </xf>
    <xf numFmtId="0" fontId="8" fillId="0" borderId="0" xfId="0" applyFont="1" applyFill="1" applyAlignment="1">
      <alignment horizontal="left" vertical="center" wrapText="1"/>
    </xf>
    <xf numFmtId="0" fontId="8" fillId="0" borderId="0" xfId="0" applyFont="1" applyFill="1" applyAlignment="1" applyProtection="1">
      <alignment horizontal="left" vertical="center" wrapText="1"/>
      <protection locked="0"/>
    </xf>
    <xf numFmtId="1" fontId="6" fillId="0" borderId="0" xfId="0" applyNumberFormat="1" applyFont="1" applyFill="1" applyAlignment="1" applyProtection="1">
      <alignment horizontal="center" vertical="center" wrapText="1"/>
      <protection locked="0"/>
    </xf>
    <xf numFmtId="164" fontId="8" fillId="0" borderId="0" xfId="2" applyNumberFormat="1" applyFont="1" applyFill="1" applyAlignment="1" applyProtection="1">
      <alignment horizontal="center" vertical="center" wrapText="1"/>
      <protection locked="0"/>
    </xf>
    <xf numFmtId="1" fontId="8" fillId="0" borderId="0" xfId="0" applyNumberFormat="1" applyFont="1" applyFill="1" applyAlignment="1" applyProtection="1">
      <alignment horizontal="center" vertical="center" wrapText="1"/>
      <protection locked="0"/>
    </xf>
    <xf numFmtId="44" fontId="5" fillId="0" borderId="0" xfId="2" applyFont="1" applyAlignment="1">
      <alignment horizontal="right" vertical="center"/>
    </xf>
    <xf numFmtId="0" fontId="8" fillId="0" borderId="0" xfId="0" applyNumberFormat="1" applyFont="1" applyFill="1" applyAlignment="1" applyProtection="1">
      <alignment horizontal="center" vertical="center" wrapText="1"/>
    </xf>
    <xf numFmtId="0" fontId="8" fillId="0" borderId="0" xfId="0" applyFont="1" applyFill="1" applyAlignment="1" applyProtection="1">
      <alignment horizontal="left" vertical="center" wrapText="1"/>
    </xf>
    <xf numFmtId="0" fontId="5" fillId="5" borderId="0" xfId="0" applyFont="1" applyFill="1"/>
    <xf numFmtId="0" fontId="3" fillId="2" borderId="1" xfId="0" applyFont="1" applyFill="1" applyBorder="1" applyAlignment="1">
      <alignment horizontal="left" vertical="center"/>
    </xf>
    <xf numFmtId="9" fontId="5" fillId="0" borderId="0" xfId="1" applyFont="1" applyAlignment="1">
      <alignment horizontal="center" vertical="center"/>
    </xf>
    <xf numFmtId="0" fontId="4" fillId="8" borderId="1" xfId="0" applyFont="1" applyFill="1" applyBorder="1" applyAlignment="1">
      <alignment horizontal="left" vertical="center" wrapText="1"/>
    </xf>
    <xf numFmtId="14" fontId="5" fillId="0" borderId="0" xfId="0" applyNumberFormat="1" applyFont="1" applyAlignment="1">
      <alignment horizontal="left" vertical="center"/>
    </xf>
    <xf numFmtId="0" fontId="5" fillId="0" borderId="1" xfId="0" applyFont="1" applyBorder="1" applyAlignment="1">
      <alignment horizontal="left" vertical="center"/>
    </xf>
    <xf numFmtId="0" fontId="8" fillId="0" borderId="0" xfId="0" applyNumberFormat="1" applyFont="1" applyFill="1" applyAlignment="1" applyProtection="1">
      <alignment horizontal="center" vertical="center" wrapText="1"/>
      <protection locked="0"/>
    </xf>
    <xf numFmtId="0" fontId="9" fillId="0" borderId="0" xfId="0" applyFont="1" applyFill="1" applyAlignment="1" applyProtection="1">
      <alignment horizontal="left" vertical="center" wrapText="1"/>
      <protection locked="0"/>
    </xf>
    <xf numFmtId="0" fontId="9" fillId="0" borderId="0" xfId="0" applyFont="1" applyFill="1" applyAlignment="1">
      <alignment horizontal="left" vertical="center" wrapText="1"/>
    </xf>
    <xf numFmtId="0" fontId="4" fillId="0" borderId="0" xfId="0" applyFont="1" applyFill="1" applyAlignment="1" applyProtection="1">
      <alignment horizontal="center" vertical="center" wrapText="1"/>
      <protection locked="0"/>
    </xf>
    <xf numFmtId="9" fontId="5" fillId="0" borderId="0" xfId="1" applyNumberFormat="1" applyFont="1" applyAlignment="1">
      <alignment horizontal="center" vertical="center"/>
    </xf>
    <xf numFmtId="0" fontId="5" fillId="0" borderId="0" xfId="0" applyNumberFormat="1" applyFont="1" applyAlignment="1">
      <alignment horizontal="center" vertical="center"/>
    </xf>
    <xf numFmtId="0" fontId="4" fillId="6" borderId="0" xfId="0" applyFont="1" applyFill="1" applyAlignment="1" applyProtection="1">
      <alignment horizontal="center" vertical="center" wrapText="1"/>
    </xf>
    <xf numFmtId="0" fontId="10" fillId="0" borderId="0" xfId="0" applyFont="1" applyFill="1" applyAlignment="1">
      <alignment horizontal="center" vertical="center" wrapText="1"/>
    </xf>
    <xf numFmtId="0" fontId="11" fillId="0" borderId="0" xfId="0" applyFont="1" applyFill="1" applyAlignment="1">
      <alignment horizontal="center" vertical="center" wrapText="1"/>
    </xf>
    <xf numFmtId="0" fontId="10" fillId="0" borderId="0" xfId="0" applyNumberFormat="1" applyFont="1" applyFill="1" applyAlignment="1">
      <alignment horizontal="center" vertical="center" wrapText="1"/>
    </xf>
    <xf numFmtId="0" fontId="3" fillId="9" borderId="1" xfId="0" applyFont="1" applyFill="1" applyBorder="1" applyAlignment="1">
      <alignment horizontal="center" vertical="center" wrapText="1"/>
    </xf>
    <xf numFmtId="0" fontId="11" fillId="0" borderId="0" xfId="0" applyNumberFormat="1" applyFont="1" applyFill="1" applyAlignment="1">
      <alignment horizontal="center" vertical="center" wrapText="1"/>
    </xf>
    <xf numFmtId="1" fontId="12" fillId="0" borderId="0" xfId="0" applyNumberFormat="1" applyFont="1" applyFill="1" applyAlignment="1" applyProtection="1">
      <alignment horizontal="left" vertical="center" wrapText="1"/>
      <protection locked="0"/>
    </xf>
    <xf numFmtId="0" fontId="14" fillId="0" borderId="0" xfId="0" applyFont="1"/>
    <xf numFmtId="0" fontId="4" fillId="0" borderId="1" xfId="0" applyFont="1" applyBorder="1" applyAlignment="1">
      <alignment horizontal="left" vertical="center"/>
    </xf>
    <xf numFmtId="0" fontId="5" fillId="0" borderId="1" xfId="0" applyFont="1" applyBorder="1"/>
    <xf numFmtId="0" fontId="4" fillId="0" borderId="0" xfId="0" applyFont="1" applyFill="1" applyAlignment="1" applyProtection="1">
      <alignment horizontal="center" vertical="center" wrapText="1"/>
    </xf>
    <xf numFmtId="0" fontId="15" fillId="6" borderId="0" xfId="0" applyFont="1" applyFill="1" applyAlignment="1">
      <alignment horizontal="center" vertical="center" wrapText="1"/>
    </xf>
    <xf numFmtId="0" fontId="5" fillId="0" borderId="0" xfId="0" applyFont="1" applyAlignment="1">
      <alignment vertical="center"/>
    </xf>
    <xf numFmtId="0" fontId="8" fillId="12" borderId="7" xfId="0" applyNumberFormat="1" applyFont="1" applyFill="1" applyBorder="1" applyAlignment="1">
      <alignment horizontal="center" vertical="center" wrapText="1"/>
    </xf>
    <xf numFmtId="0" fontId="8" fillId="11" borderId="7" xfId="0" applyNumberFormat="1" applyFont="1" applyFill="1" applyBorder="1" applyAlignment="1">
      <alignment horizontal="center" vertical="center" wrapText="1"/>
    </xf>
    <xf numFmtId="0" fontId="8" fillId="12" borderId="8" xfId="0" applyNumberFormat="1" applyFont="1" applyFill="1" applyBorder="1" applyAlignment="1">
      <alignment horizontal="center" vertical="center" wrapText="1"/>
    </xf>
    <xf numFmtId="0" fontId="8" fillId="11" borderId="8" xfId="0" applyNumberFormat="1" applyFont="1" applyFill="1" applyBorder="1" applyAlignment="1">
      <alignment horizontal="center" vertical="center" wrapText="1"/>
    </xf>
    <xf numFmtId="0" fontId="3" fillId="10" borderId="18" xfId="0" applyFont="1" applyFill="1" applyBorder="1" applyAlignment="1">
      <alignment horizontal="center" vertical="center" wrapText="1"/>
    </xf>
    <xf numFmtId="0" fontId="8" fillId="12" borderId="20" xfId="0" applyNumberFormat="1" applyFont="1" applyFill="1" applyBorder="1" applyAlignment="1">
      <alignment horizontal="center" vertical="center" wrapText="1"/>
    </xf>
    <xf numFmtId="0" fontId="8" fillId="11" borderId="20" xfId="0" applyNumberFormat="1" applyFont="1" applyFill="1" applyBorder="1" applyAlignment="1">
      <alignment horizontal="center" vertical="center" wrapText="1"/>
    </xf>
    <xf numFmtId="0" fontId="8" fillId="12" borderId="21" xfId="0" applyNumberFormat="1" applyFont="1" applyFill="1" applyBorder="1" applyAlignment="1">
      <alignment horizontal="center" vertical="center" wrapText="1"/>
    </xf>
    <xf numFmtId="0" fontId="8" fillId="11" borderId="21" xfId="0" applyNumberFormat="1" applyFont="1" applyFill="1" applyBorder="1" applyAlignment="1">
      <alignment horizontal="center" vertical="center" wrapText="1"/>
    </xf>
    <xf numFmtId="0" fontId="8" fillId="12" borderId="22" xfId="0" applyNumberFormat="1" applyFont="1" applyFill="1" applyBorder="1" applyAlignment="1">
      <alignment horizontal="center" vertical="center" wrapText="1"/>
    </xf>
    <xf numFmtId="0" fontId="4" fillId="0" borderId="0" xfId="0" applyFont="1" applyAlignment="1">
      <alignment horizontal="center" vertical="center"/>
    </xf>
    <xf numFmtId="0" fontId="3" fillId="10" borderId="27"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8" fillId="12" borderId="29" xfId="0" applyNumberFormat="1" applyFont="1" applyFill="1" applyBorder="1" applyAlignment="1">
      <alignment horizontal="center" vertical="center" wrapText="1"/>
    </xf>
    <xf numFmtId="0" fontId="14" fillId="0" borderId="0" xfId="0" applyFont="1" applyAlignment="1">
      <alignment wrapText="1"/>
    </xf>
    <xf numFmtId="0" fontId="25" fillId="0" borderId="0" xfId="3" applyFont="1" applyAlignment="1">
      <alignment wrapText="1"/>
    </xf>
    <xf numFmtId="0" fontId="26" fillId="0" borderId="0" xfId="0" applyFont="1" applyAlignment="1">
      <alignment horizontal="left"/>
    </xf>
    <xf numFmtId="0" fontId="4" fillId="7" borderId="32" xfId="0" applyFont="1" applyFill="1" applyBorder="1" applyAlignment="1">
      <alignment horizontal="center" vertical="center" wrapText="1"/>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7"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7" borderId="41" xfId="0" applyFont="1" applyFill="1" applyBorder="1" applyAlignment="1">
      <alignment horizontal="center" vertical="center" wrapText="1"/>
    </xf>
    <xf numFmtId="0" fontId="5" fillId="0" borderId="0" xfId="0" applyFont="1" applyBorder="1" applyAlignment="1">
      <alignment vertical="center"/>
    </xf>
    <xf numFmtId="0" fontId="5" fillId="0" borderId="6" xfId="0" applyFont="1" applyBorder="1" applyAlignment="1">
      <alignment vertical="center"/>
    </xf>
    <xf numFmtId="0" fontId="5" fillId="0" borderId="39" xfId="0" applyFont="1" applyBorder="1" applyAlignment="1">
      <alignment vertical="center"/>
    </xf>
    <xf numFmtId="0" fontId="5" fillId="0" borderId="40" xfId="0" applyFont="1" applyBorder="1" applyAlignment="1">
      <alignment vertical="center"/>
    </xf>
    <xf numFmtId="0" fontId="23" fillId="8" borderId="11" xfId="0" applyFont="1" applyFill="1" applyBorder="1" applyAlignment="1">
      <alignment horizontal="center" vertical="center" wrapText="1"/>
    </xf>
    <xf numFmtId="2" fontId="8" fillId="0" borderId="0" xfId="0" applyNumberFormat="1" applyFont="1" applyFill="1" applyAlignment="1">
      <alignment horizontal="center" vertical="center" wrapText="1"/>
    </xf>
    <xf numFmtId="2" fontId="8" fillId="0" borderId="0" xfId="0" applyNumberFormat="1" applyFont="1" applyFill="1" applyAlignment="1" applyProtection="1">
      <alignment horizontal="center" vertical="center" wrapText="1"/>
      <protection locked="0"/>
    </xf>
    <xf numFmtId="2" fontId="8" fillId="11" borderId="7" xfId="0" applyNumberFormat="1" applyFont="1" applyFill="1" applyBorder="1" applyAlignment="1">
      <alignment horizontal="center" vertical="center" wrapText="1"/>
    </xf>
    <xf numFmtId="0" fontId="5" fillId="0" borderId="0" xfId="0" applyFont="1" applyAlignment="1">
      <alignment horizontal="center" wrapText="1"/>
    </xf>
    <xf numFmtId="0" fontId="5" fillId="0" borderId="0" xfId="0" applyFont="1" applyProtection="1">
      <protection locked="0"/>
    </xf>
    <xf numFmtId="0" fontId="22" fillId="8" borderId="53" xfId="0" applyFont="1" applyFill="1" applyBorder="1" applyAlignment="1" applyProtection="1">
      <alignment horizontal="center" vertical="center" wrapText="1"/>
      <protection locked="0"/>
    </xf>
    <xf numFmtId="0" fontId="5" fillId="0" borderId="0" xfId="0" applyFont="1" applyAlignment="1" applyProtection="1">
      <alignment wrapText="1"/>
      <protection locked="0"/>
    </xf>
    <xf numFmtId="0" fontId="5" fillId="0" borderId="0" xfId="0" applyFont="1" applyAlignment="1" applyProtection="1">
      <alignment horizontal="center" wrapText="1"/>
      <protection locked="0"/>
    </xf>
    <xf numFmtId="0" fontId="5" fillId="0" borderId="53" xfId="0" applyFont="1" applyBorder="1" applyProtection="1">
      <protection locked="0"/>
    </xf>
    <xf numFmtId="0" fontId="5" fillId="0" borderId="0" xfId="0" applyFont="1" applyBorder="1" applyAlignment="1" applyProtection="1">
      <alignment horizontal="center" vertical="center"/>
      <protection locked="0"/>
    </xf>
    <xf numFmtId="0" fontId="14" fillId="0" borderId="12" xfId="0" applyFont="1" applyBorder="1" applyAlignment="1" applyProtection="1">
      <alignment horizontal="left" vertical="center" indent="5"/>
      <protection locked="0"/>
    </xf>
    <xf numFmtId="0" fontId="5" fillId="0" borderId="0" xfId="0" applyFont="1" applyBorder="1" applyAlignment="1" applyProtection="1">
      <alignment horizontal="left" vertical="center"/>
      <protection locked="0"/>
    </xf>
    <xf numFmtId="0" fontId="14" fillId="0" borderId="12" xfId="0" applyFont="1" applyBorder="1" applyAlignment="1" applyProtection="1">
      <alignment horizontal="left" vertical="center" wrapText="1" indent="10"/>
      <protection locked="0"/>
    </xf>
    <xf numFmtId="0" fontId="14" fillId="0" borderId="12" xfId="0" applyFont="1" applyBorder="1" applyAlignment="1" applyProtection="1">
      <alignment horizontal="left" vertical="center" indent="10"/>
      <protection locked="0"/>
    </xf>
    <xf numFmtId="0" fontId="19" fillId="0" borderId="12" xfId="0" applyFont="1" applyBorder="1" applyAlignment="1" applyProtection="1">
      <alignment horizontal="left" vertical="center" indent="15"/>
      <protection locked="0"/>
    </xf>
    <xf numFmtId="0" fontId="19" fillId="0" borderId="12" xfId="0" applyFont="1" applyBorder="1" applyAlignment="1" applyProtection="1">
      <alignment horizontal="left" vertical="center" wrapText="1" indent="15"/>
      <protection locked="0"/>
    </xf>
    <xf numFmtId="0" fontId="14" fillId="0" borderId="12" xfId="0" applyFont="1" applyBorder="1" applyAlignment="1" applyProtection="1">
      <alignment horizontal="left" vertical="center" wrapText="1" indent="5"/>
      <protection locked="0"/>
    </xf>
    <xf numFmtId="0" fontId="5" fillId="0" borderId="0" xfId="0" applyFont="1" applyAlignment="1" applyProtection="1">
      <alignment vertical="center"/>
      <protection locked="0"/>
    </xf>
    <xf numFmtId="0" fontId="3" fillId="10" borderId="27" xfId="0" applyFont="1" applyFill="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3" fillId="10" borderId="28" xfId="0" applyFont="1" applyFill="1" applyBorder="1" applyAlignment="1" applyProtection="1">
      <alignment horizontal="center" vertical="center" wrapText="1"/>
      <protection locked="0"/>
    </xf>
    <xf numFmtId="0" fontId="8" fillId="12" borderId="7" xfId="0" applyNumberFormat="1" applyFont="1" applyFill="1" applyBorder="1" applyAlignment="1" applyProtection="1">
      <alignment horizontal="center" vertical="center" wrapText="1"/>
      <protection locked="0"/>
    </xf>
    <xf numFmtId="0" fontId="8" fillId="12" borderId="20" xfId="0" applyNumberFormat="1" applyFont="1" applyFill="1" applyBorder="1" applyAlignment="1" applyProtection="1">
      <alignment horizontal="center" vertical="center" wrapText="1"/>
      <protection locked="0"/>
    </xf>
    <xf numFmtId="0" fontId="8" fillId="12" borderId="29" xfId="0" applyNumberFormat="1" applyFont="1" applyFill="1" applyBorder="1" applyAlignment="1" applyProtection="1">
      <alignment horizontal="center" vertical="center" wrapText="1"/>
      <protection locked="0"/>
    </xf>
    <xf numFmtId="0" fontId="8" fillId="12" borderId="22" xfId="0" applyNumberFormat="1" applyFont="1" applyFill="1" applyBorder="1" applyAlignment="1" applyProtection="1">
      <alignment horizontal="center" vertical="center" wrapText="1"/>
      <protection locked="0"/>
    </xf>
    <xf numFmtId="0" fontId="8" fillId="11" borderId="7" xfId="0" applyNumberFormat="1" applyFont="1" applyFill="1" applyBorder="1" applyAlignment="1" applyProtection="1">
      <alignment horizontal="center" vertical="center" wrapText="1"/>
      <protection locked="0"/>
    </xf>
    <xf numFmtId="0" fontId="8" fillId="11" borderId="20" xfId="0" applyNumberFormat="1" applyFont="1" applyFill="1" applyBorder="1" applyAlignment="1" applyProtection="1">
      <alignment horizontal="center" vertical="center" wrapText="1"/>
      <protection locked="0"/>
    </xf>
    <xf numFmtId="0" fontId="14" fillId="0" borderId="13" xfId="0" applyFont="1" applyBorder="1" applyAlignment="1" applyProtection="1">
      <alignment horizontal="left" vertical="center" wrapText="1" indent="10"/>
      <protection locked="0"/>
    </xf>
    <xf numFmtId="2" fontId="8" fillId="11" borderId="7" xfId="0" applyNumberFormat="1" applyFont="1" applyFill="1" applyBorder="1" applyAlignment="1" applyProtection="1">
      <alignment horizontal="center" vertical="center" wrapText="1"/>
      <protection locked="0"/>
    </xf>
    <xf numFmtId="0" fontId="8" fillId="12" borderId="8" xfId="0" applyNumberFormat="1" applyFont="1" applyFill="1" applyBorder="1" applyAlignment="1" applyProtection="1">
      <alignment horizontal="center" vertical="center" wrapText="1"/>
      <protection locked="0"/>
    </xf>
    <xf numFmtId="0" fontId="8" fillId="12" borderId="21" xfId="0" applyNumberFormat="1" applyFont="1" applyFill="1" applyBorder="1" applyAlignment="1" applyProtection="1">
      <alignment horizontal="center" vertical="center" wrapText="1"/>
      <protection locked="0"/>
    </xf>
    <xf numFmtId="0" fontId="8" fillId="11" borderId="8" xfId="0" applyNumberFormat="1" applyFont="1" applyFill="1" applyBorder="1" applyAlignment="1" applyProtection="1">
      <alignment horizontal="center" vertical="center" wrapText="1"/>
      <protection locked="0"/>
    </xf>
    <xf numFmtId="0" fontId="8" fillId="11" borderId="21" xfId="0" applyNumberFormat="1" applyFont="1" applyFill="1" applyBorder="1" applyAlignment="1" applyProtection="1">
      <alignment horizontal="center" vertical="center" wrapText="1"/>
      <protection locked="0"/>
    </xf>
    <xf numFmtId="0" fontId="8" fillId="12" borderId="7" xfId="0" applyNumberFormat="1" applyFont="1" applyFill="1" applyBorder="1" applyAlignment="1" applyProtection="1">
      <alignment horizontal="center" vertical="center" wrapText="1"/>
    </xf>
    <xf numFmtId="0" fontId="8" fillId="11" borderId="7" xfId="0" applyNumberFormat="1" applyFont="1" applyFill="1" applyBorder="1" applyAlignment="1" applyProtection="1">
      <alignment horizontal="center" vertical="center" wrapText="1"/>
    </xf>
    <xf numFmtId="0" fontId="8" fillId="12" borderId="8" xfId="0" applyNumberFormat="1" applyFont="1" applyFill="1" applyBorder="1" applyAlignment="1" applyProtection="1">
      <alignment horizontal="center" vertical="center" wrapText="1"/>
    </xf>
    <xf numFmtId="0" fontId="8" fillId="12" borderId="29" xfId="0" applyNumberFormat="1" applyFont="1" applyFill="1" applyBorder="1" applyAlignment="1" applyProtection="1">
      <alignment horizontal="center" vertical="center" wrapText="1"/>
    </xf>
    <xf numFmtId="0" fontId="8" fillId="11" borderId="8" xfId="0" applyNumberFormat="1" applyFont="1" applyFill="1" applyBorder="1" applyAlignment="1" applyProtection="1">
      <alignment horizontal="center" vertical="center" wrapText="1"/>
    </xf>
    <xf numFmtId="0" fontId="4" fillId="7" borderId="44" xfId="0" applyFont="1" applyFill="1" applyBorder="1" applyAlignment="1" applyProtection="1">
      <alignment horizontal="center" vertical="center" wrapText="1"/>
    </xf>
    <xf numFmtId="0" fontId="4" fillId="0" borderId="45" xfId="0" applyFont="1" applyBorder="1" applyAlignment="1" applyProtection="1">
      <alignment horizontal="center" vertical="center" wrapText="1"/>
    </xf>
    <xf numFmtId="0" fontId="4" fillId="0" borderId="46" xfId="0" applyFont="1" applyBorder="1" applyAlignment="1" applyProtection="1">
      <alignment horizontal="center" vertical="center" wrapText="1"/>
    </xf>
    <xf numFmtId="0" fontId="4" fillId="7" borderId="47" xfId="0" applyFont="1" applyFill="1" applyBorder="1" applyAlignment="1" applyProtection="1">
      <alignment horizontal="center" vertical="center" wrapText="1"/>
    </xf>
    <xf numFmtId="0" fontId="4" fillId="7" borderId="42" xfId="0" applyFont="1" applyFill="1" applyBorder="1" applyAlignment="1" applyProtection="1">
      <alignment horizontal="center" vertical="center" wrapText="1"/>
    </xf>
    <xf numFmtId="0" fontId="5" fillId="0" borderId="48" xfId="0" applyFont="1" applyBorder="1" applyAlignment="1" applyProtection="1">
      <alignment vertical="center" wrapText="1"/>
    </xf>
    <xf numFmtId="0" fontId="5" fillId="0" borderId="49" xfId="0" applyFont="1" applyBorder="1" applyAlignment="1" applyProtection="1">
      <alignment vertical="center" wrapText="1"/>
    </xf>
    <xf numFmtId="0" fontId="4" fillId="7" borderId="43" xfId="0" applyFont="1" applyFill="1" applyBorder="1" applyAlignment="1" applyProtection="1">
      <alignment horizontal="center" vertical="center" wrapText="1"/>
    </xf>
    <xf numFmtId="0" fontId="4" fillId="7" borderId="36" xfId="0" applyFont="1" applyFill="1" applyBorder="1" applyAlignment="1" applyProtection="1">
      <alignment horizontal="center" vertical="center" wrapText="1"/>
    </xf>
    <xf numFmtId="0" fontId="5" fillId="0" borderId="1" xfId="0" applyFont="1" applyBorder="1" applyAlignment="1" applyProtection="1">
      <alignment vertical="center" wrapText="1"/>
    </xf>
    <xf numFmtId="0" fontId="5" fillId="0" borderId="50" xfId="0" applyFont="1" applyBorder="1" applyAlignment="1" applyProtection="1">
      <alignment vertical="center" wrapText="1"/>
    </xf>
    <xf numFmtId="0" fontId="4" fillId="7" borderId="37" xfId="0" applyFont="1" applyFill="1" applyBorder="1" applyAlignment="1" applyProtection="1">
      <alignment horizontal="center" vertical="center" wrapText="1"/>
    </xf>
    <xf numFmtId="0" fontId="4" fillId="7" borderId="38" xfId="0" applyFont="1" applyFill="1" applyBorder="1" applyAlignment="1" applyProtection="1">
      <alignment horizontal="center" vertical="center" wrapText="1"/>
    </xf>
    <xf numFmtId="0" fontId="5" fillId="0" borderId="51" xfId="0" applyFont="1" applyBorder="1" applyAlignment="1" applyProtection="1">
      <alignment vertical="center" wrapText="1"/>
    </xf>
    <xf numFmtId="0" fontId="5" fillId="0" borderId="52" xfId="0" applyFont="1" applyBorder="1" applyAlignment="1" applyProtection="1">
      <alignment vertical="center" wrapText="1"/>
    </xf>
    <xf numFmtId="0" fontId="4" fillId="7" borderId="41" xfId="0" applyFont="1" applyFill="1" applyBorder="1" applyAlignment="1" applyProtection="1">
      <alignment horizontal="center" vertical="center" wrapText="1"/>
    </xf>
    <xf numFmtId="0" fontId="18" fillId="0" borderId="0" xfId="0" applyFont="1" applyAlignment="1" applyProtection="1">
      <alignment wrapText="1"/>
      <protection locked="0"/>
    </xf>
    <xf numFmtId="0" fontId="5" fillId="0" borderId="0" xfId="0" applyFont="1" applyAlignment="1" applyProtection="1">
      <alignment horizontal="center" vertical="center" wrapText="1"/>
      <protection locked="0"/>
    </xf>
    <xf numFmtId="0" fontId="14" fillId="0" borderId="12" xfId="0" applyFont="1" applyBorder="1" applyAlignment="1" applyProtection="1">
      <alignment horizontal="left" vertical="center" indent="2"/>
      <protection locked="0"/>
    </xf>
    <xf numFmtId="0" fontId="3" fillId="10" borderId="5" xfId="0" applyFont="1" applyFill="1" applyBorder="1" applyAlignment="1" applyProtection="1">
      <alignment horizontal="center" vertical="center" wrapText="1"/>
      <protection locked="0"/>
    </xf>
    <xf numFmtId="0" fontId="3" fillId="10" borderId="19" xfId="0" applyFont="1" applyFill="1" applyBorder="1" applyAlignment="1" applyProtection="1">
      <alignment horizontal="center" vertical="center" wrapText="1"/>
      <protection locked="0"/>
    </xf>
    <xf numFmtId="0" fontId="31" fillId="0" borderId="12" xfId="0" applyFont="1" applyBorder="1" applyAlignment="1" applyProtection="1">
      <alignment horizontal="left" vertical="center" indent="5"/>
      <protection locked="0"/>
    </xf>
    <xf numFmtId="0" fontId="14" fillId="0" borderId="12" xfId="0" applyFont="1" applyBorder="1" applyAlignment="1" applyProtection="1">
      <alignment horizontal="left" vertical="center" wrapText="1" indent="2"/>
      <protection locked="0"/>
    </xf>
    <xf numFmtId="0" fontId="14" fillId="0" borderId="13" xfId="0" applyFont="1" applyBorder="1" applyAlignment="1" applyProtection="1">
      <alignment horizontal="left" vertical="center" wrapText="1" indent="5"/>
      <protection locked="0"/>
    </xf>
    <xf numFmtId="0" fontId="5" fillId="0" borderId="0" xfId="0" applyFont="1" applyAlignment="1" applyProtection="1">
      <protection locked="0"/>
    </xf>
    <xf numFmtId="0" fontId="3" fillId="9" borderId="1" xfId="0" applyFont="1" applyFill="1" applyBorder="1" applyAlignment="1" applyProtection="1">
      <alignment horizontal="center" vertical="center" wrapText="1"/>
    </xf>
    <xf numFmtId="0" fontId="3" fillId="10" borderId="5" xfId="0" applyFont="1" applyFill="1" applyBorder="1" applyAlignment="1" applyProtection="1">
      <alignment horizontal="center" vertical="center" wrapText="1"/>
    </xf>
    <xf numFmtId="0" fontId="4" fillId="7" borderId="1" xfId="0" applyFont="1" applyFill="1" applyBorder="1" applyAlignment="1" applyProtection="1">
      <alignment horizontal="left" vertical="center"/>
    </xf>
    <xf numFmtId="0" fontId="5" fillId="0" borderId="0" xfId="0" applyFont="1" applyProtection="1"/>
    <xf numFmtId="0" fontId="5" fillId="0" borderId="0" xfId="0" applyFont="1" applyAlignment="1" applyProtection="1">
      <alignment horizontal="left" vertical="center"/>
    </xf>
    <xf numFmtId="0" fontId="5" fillId="5" borderId="0" xfId="0" applyFont="1" applyFill="1" applyAlignment="1" applyProtection="1">
      <alignment horizontal="center" vertical="center"/>
    </xf>
    <xf numFmtId="0" fontId="5" fillId="5" borderId="0" xfId="0" applyFont="1" applyFill="1" applyAlignment="1" applyProtection="1">
      <alignment horizontal="left" vertical="center" wrapText="1"/>
    </xf>
    <xf numFmtId="0" fontId="4" fillId="8" borderId="1" xfId="0" applyFont="1" applyFill="1" applyBorder="1" applyAlignment="1" applyProtection="1">
      <alignment vertical="center"/>
    </xf>
    <xf numFmtId="0" fontId="4" fillId="4" borderId="0" xfId="0" applyFont="1" applyFill="1" applyAlignment="1" applyProtection="1">
      <alignment horizontal="center" vertical="center" wrapText="1"/>
    </xf>
    <xf numFmtId="0" fontId="4" fillId="0" borderId="0" xfId="0" applyFont="1" applyFill="1" applyAlignment="1" applyProtection="1">
      <alignment horizontal="center" vertical="center"/>
    </xf>
    <xf numFmtId="0" fontId="5" fillId="0" borderId="0" xfId="0" applyFont="1" applyFill="1" applyAlignment="1" applyProtection="1">
      <alignment horizontal="left" vertical="center" wrapText="1"/>
    </xf>
    <xf numFmtId="0" fontId="9" fillId="0" borderId="0" xfId="0" applyFont="1" applyFill="1" applyAlignment="1" applyProtection="1">
      <alignment horizontal="left" vertical="center" wrapText="1"/>
    </xf>
    <xf numFmtId="0" fontId="16" fillId="0" borderId="0" xfId="0" applyFont="1" applyAlignment="1" applyProtection="1">
      <alignment horizontal="center" vertical="center" wrapText="1"/>
    </xf>
    <xf numFmtId="0" fontId="4" fillId="0" borderId="0" xfId="0" applyFont="1" applyFill="1" applyAlignment="1" applyProtection="1">
      <alignment horizontal="left" vertical="center"/>
    </xf>
    <xf numFmtId="44" fontId="5" fillId="0" borderId="0" xfId="2" applyFont="1" applyFill="1" applyAlignment="1" applyProtection="1">
      <alignment horizontal="left" vertical="center" wrapText="1"/>
    </xf>
    <xf numFmtId="44" fontId="5" fillId="8" borderId="0" xfId="2" applyFont="1" applyFill="1" applyAlignment="1" applyProtection="1">
      <alignment horizontal="left" vertical="center" wrapText="1"/>
    </xf>
    <xf numFmtId="0" fontId="5" fillId="0" borderId="0" xfId="0" applyFont="1" applyAlignment="1" applyProtection="1">
      <alignment horizontal="center" vertical="center"/>
    </xf>
    <xf numFmtId="0" fontId="5" fillId="0" borderId="0" xfId="0" applyFont="1" applyAlignment="1" applyProtection="1">
      <alignment horizontal="left" vertical="center" wrapText="1"/>
    </xf>
    <xf numFmtId="0" fontId="4" fillId="0" borderId="0" xfId="0" applyFont="1" applyAlignment="1" applyProtection="1">
      <alignment horizontal="left" vertical="center" indent="1"/>
    </xf>
    <xf numFmtId="0" fontId="7" fillId="0" borderId="0" xfId="0" applyFont="1" applyAlignment="1" applyProtection="1">
      <alignment horizontal="center" vertical="center" wrapText="1"/>
    </xf>
    <xf numFmtId="0" fontId="4" fillId="8" borderId="1" xfId="0" applyFont="1" applyFill="1" applyBorder="1" applyAlignment="1" applyProtection="1">
      <alignment horizontal="left" vertical="center" wrapText="1"/>
    </xf>
    <xf numFmtId="0" fontId="4" fillId="3" borderId="0" xfId="0" applyFont="1" applyFill="1" applyAlignment="1" applyProtection="1">
      <alignment horizontal="center" vertical="center" wrapText="1"/>
    </xf>
    <xf numFmtId="0" fontId="5" fillId="0" borderId="0" xfId="0" applyFont="1" applyAlignment="1" applyProtection="1">
      <alignment wrapText="1"/>
    </xf>
    <xf numFmtId="0" fontId="5" fillId="5" borderId="0" xfId="0" applyFont="1" applyFill="1" applyAlignment="1" applyProtection="1">
      <alignment horizontal="center" vertical="center" wrapText="1"/>
    </xf>
    <xf numFmtId="1" fontId="6" fillId="0" borderId="0" xfId="0" applyNumberFormat="1" applyFont="1" applyFill="1" applyAlignment="1" applyProtection="1">
      <alignment horizontal="center" vertical="center" wrapText="1"/>
    </xf>
    <xf numFmtId="0" fontId="11" fillId="0" borderId="0" xfId="0" applyFont="1" applyFill="1" applyAlignment="1" applyProtection="1">
      <alignment horizontal="center" vertical="center" wrapText="1"/>
    </xf>
    <xf numFmtId="0" fontId="8" fillId="0" borderId="0" xfId="0" applyFont="1" applyFill="1" applyAlignment="1" applyProtection="1">
      <alignment horizontal="center" vertical="center" wrapText="1"/>
    </xf>
    <xf numFmtId="0" fontId="10" fillId="0" borderId="0" xfId="0" applyFont="1" applyFill="1" applyAlignment="1" applyProtection="1">
      <alignment horizontal="center" vertical="center" wrapText="1"/>
    </xf>
    <xf numFmtId="0" fontId="10" fillId="0" borderId="0" xfId="0" applyNumberFormat="1" applyFont="1" applyFill="1" applyAlignment="1" applyProtection="1">
      <alignment horizontal="center" vertical="center" wrapText="1"/>
    </xf>
    <xf numFmtId="164" fontId="8" fillId="0" borderId="0" xfId="2" applyNumberFormat="1" applyFont="1" applyFill="1" applyAlignment="1" applyProtection="1">
      <alignment horizontal="center" vertical="center" wrapText="1"/>
    </xf>
    <xf numFmtId="1" fontId="8" fillId="0" borderId="0" xfId="0" applyNumberFormat="1" applyFont="1" applyFill="1" applyAlignment="1" applyProtection="1">
      <alignment horizontal="center" vertical="center" wrapText="1"/>
    </xf>
    <xf numFmtId="44" fontId="5" fillId="0" borderId="0" xfId="2" applyFont="1" applyAlignment="1" applyProtection="1">
      <alignment horizontal="right" vertical="center"/>
    </xf>
    <xf numFmtId="2" fontId="8" fillId="0" borderId="0" xfId="0" applyNumberFormat="1" applyFont="1" applyFill="1" applyAlignment="1" applyProtection="1">
      <alignment horizontal="center" vertical="center" wrapText="1"/>
    </xf>
    <xf numFmtId="0" fontId="18" fillId="0" borderId="0" xfId="0" applyFont="1" applyAlignment="1" applyProtection="1">
      <alignment wrapText="1"/>
    </xf>
    <xf numFmtId="0" fontId="5" fillId="0" borderId="0" xfId="0" applyFont="1" applyAlignment="1" applyProtection="1">
      <alignment horizontal="center" wrapText="1"/>
    </xf>
    <xf numFmtId="0" fontId="5" fillId="0" borderId="0" xfId="0" applyFont="1" applyAlignment="1" applyProtection="1">
      <alignment horizontal="center" vertical="center" wrapText="1"/>
    </xf>
    <xf numFmtId="0" fontId="3" fillId="10" borderId="18" xfId="0" applyFont="1" applyFill="1" applyBorder="1" applyAlignment="1" applyProtection="1">
      <alignment horizontal="center" vertical="center" wrapText="1"/>
    </xf>
    <xf numFmtId="0" fontId="3" fillId="10" borderId="19" xfId="0" applyFont="1" applyFill="1" applyBorder="1" applyAlignment="1" applyProtection="1">
      <alignment horizontal="center" vertical="center" wrapText="1"/>
    </xf>
    <xf numFmtId="0" fontId="4" fillId="0" borderId="0" xfId="0" applyFont="1" applyAlignment="1" applyProtection="1">
      <alignment horizontal="center" vertical="center"/>
    </xf>
    <xf numFmtId="0" fontId="8" fillId="12" borderId="22" xfId="0" applyNumberFormat="1" applyFont="1" applyFill="1" applyBorder="1" applyAlignment="1" applyProtection="1">
      <alignment horizontal="center" vertical="center" wrapText="1"/>
    </xf>
    <xf numFmtId="0" fontId="8" fillId="11" borderId="20" xfId="0" applyNumberFormat="1" applyFont="1" applyFill="1" applyBorder="1" applyAlignment="1" applyProtection="1">
      <alignment horizontal="center" vertical="center" wrapText="1"/>
    </xf>
    <xf numFmtId="0" fontId="8" fillId="12" borderId="20" xfId="0" applyNumberFormat="1" applyFont="1" applyFill="1" applyBorder="1" applyAlignment="1" applyProtection="1">
      <alignment horizontal="center" vertical="center" wrapText="1"/>
    </xf>
    <xf numFmtId="0" fontId="5" fillId="0" borderId="0" xfId="0" applyFont="1" applyAlignment="1" applyProtection="1"/>
    <xf numFmtId="2" fontId="8" fillId="11" borderId="7" xfId="0" applyNumberFormat="1" applyFont="1" applyFill="1" applyBorder="1" applyAlignment="1" applyProtection="1">
      <alignment horizontal="center" vertical="center" wrapText="1"/>
    </xf>
    <xf numFmtId="0" fontId="8" fillId="12" borderId="21" xfId="0" applyNumberFormat="1" applyFont="1" applyFill="1" applyBorder="1" applyAlignment="1" applyProtection="1">
      <alignment horizontal="center" vertical="center" wrapText="1"/>
    </xf>
    <xf numFmtId="0" fontId="8" fillId="11" borderId="21" xfId="0" applyNumberFormat="1" applyFont="1" applyFill="1" applyBorder="1" applyAlignment="1" applyProtection="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3" fillId="10" borderId="23" xfId="0" applyFont="1" applyFill="1" applyBorder="1" applyAlignment="1" applyProtection="1">
      <alignment horizontal="center" vertical="center" wrapText="1"/>
      <protection locked="0"/>
    </xf>
    <xf numFmtId="0" fontId="3" fillId="10" borderId="23" xfId="0" applyFont="1" applyFill="1" applyBorder="1" applyAlignment="1">
      <alignment horizontal="center" vertical="center" wrapText="1"/>
    </xf>
    <xf numFmtId="0" fontId="33" fillId="0" borderId="0" xfId="0" applyFont="1" applyAlignment="1">
      <alignment vertical="center" wrapText="1"/>
    </xf>
    <xf numFmtId="0" fontId="25" fillId="0" borderId="0" xfId="3" applyFont="1" applyAlignment="1">
      <alignment vertical="center" wrapText="1"/>
    </xf>
    <xf numFmtId="0" fontId="24" fillId="0" borderId="0" xfId="3" applyAlignment="1">
      <alignment horizontal="left" vertical="center" wrapText="1"/>
    </xf>
    <xf numFmtId="0" fontId="0" fillId="0" borderId="0" xfId="0" applyAlignment="1">
      <alignment wrapText="1"/>
    </xf>
    <xf numFmtId="0" fontId="35" fillId="0" borderId="0" xfId="0" applyFont="1" applyAlignment="1">
      <alignment vertical="center" wrapText="1"/>
    </xf>
    <xf numFmtId="0" fontId="25" fillId="0" borderId="0" xfId="3" applyFont="1" applyAlignment="1">
      <alignment horizontal="left" vertical="center" wrapText="1"/>
    </xf>
    <xf numFmtId="0" fontId="34" fillId="0" borderId="0" xfId="0" applyFont="1" applyAlignment="1">
      <alignment vertical="center" wrapText="1"/>
    </xf>
    <xf numFmtId="0" fontId="3" fillId="3"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3" fillId="9" borderId="54" xfId="0" applyFont="1" applyFill="1" applyBorder="1" applyAlignment="1">
      <alignment horizontal="center" vertical="center" wrapText="1"/>
    </xf>
    <xf numFmtId="44" fontId="5" fillId="8" borderId="54" xfId="2" applyFont="1" applyFill="1" applyBorder="1" applyAlignment="1">
      <alignment horizontal="left" vertical="center" wrapText="1"/>
    </xf>
    <xf numFmtId="0" fontId="8" fillId="0" borderId="0" xfId="0" applyFont="1" applyFill="1" applyAlignment="1" applyProtection="1">
      <alignment horizontal="center" vertical="center" wrapText="1"/>
      <protection locked="0"/>
    </xf>
    <xf numFmtId="0" fontId="36" fillId="0" borderId="0" xfId="0" applyFont="1" applyFill="1" applyAlignment="1" applyProtection="1">
      <alignment vertical="center" wrapText="1"/>
    </xf>
    <xf numFmtId="0" fontId="30" fillId="0" borderId="0" xfId="0" applyFont="1" applyFill="1" applyAlignment="1" applyProtection="1">
      <alignment vertical="center" wrapText="1"/>
    </xf>
    <xf numFmtId="0" fontId="38" fillId="0" borderId="0" xfId="0" applyFont="1" applyFill="1" applyAlignment="1" applyProtection="1">
      <alignment vertical="center" wrapText="1"/>
    </xf>
    <xf numFmtId="0" fontId="37" fillId="0" borderId="0" xfId="0" applyFont="1" applyFill="1" applyAlignment="1" applyProtection="1">
      <alignment vertical="center" wrapText="1"/>
    </xf>
    <xf numFmtId="0" fontId="3" fillId="5" borderId="62" xfId="0" applyFont="1" applyFill="1" applyBorder="1" applyAlignment="1">
      <alignment horizontal="left" vertical="center" wrapText="1"/>
    </xf>
    <xf numFmtId="0" fontId="3" fillId="5" borderId="55" xfId="0" applyFont="1" applyFill="1" applyBorder="1" applyAlignment="1">
      <alignment horizontal="left" vertical="center" wrapText="1"/>
    </xf>
    <xf numFmtId="0" fontId="3" fillId="5" borderId="65"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9" borderId="4" xfId="0" applyFont="1" applyFill="1" applyBorder="1" applyAlignment="1">
      <alignment horizontal="left" vertical="center" wrapText="1"/>
    </xf>
    <xf numFmtId="0" fontId="4" fillId="7" borderId="56" xfId="0" applyFont="1" applyFill="1" applyBorder="1" applyAlignment="1">
      <alignment horizontal="center" vertical="center" wrapText="1"/>
    </xf>
    <xf numFmtId="0" fontId="3" fillId="3" borderId="68" xfId="0" applyFont="1" applyFill="1" applyBorder="1" applyAlignment="1">
      <alignment horizontal="left" vertical="center" wrapText="1"/>
    </xf>
    <xf numFmtId="0" fontId="5" fillId="0" borderId="49" xfId="0" applyFont="1" applyBorder="1" applyAlignment="1">
      <alignment vertical="center" wrapText="1"/>
    </xf>
    <xf numFmtId="0" fontId="5" fillId="0" borderId="50" xfId="0" applyFont="1" applyBorder="1" applyAlignment="1">
      <alignment vertical="center" wrapText="1"/>
    </xf>
    <xf numFmtId="0" fontId="3" fillId="3" borderId="69" xfId="0" applyFont="1" applyFill="1" applyBorder="1" applyAlignment="1">
      <alignment horizontal="left" vertical="center" wrapText="1"/>
    </xf>
    <xf numFmtId="0" fontId="5" fillId="0" borderId="66" xfId="0" applyFont="1" applyBorder="1" applyAlignment="1">
      <alignment vertical="center" wrapText="1"/>
    </xf>
    <xf numFmtId="0" fontId="3" fillId="6" borderId="68" xfId="0" applyFont="1" applyFill="1" applyBorder="1" applyAlignment="1">
      <alignment horizontal="left" vertical="center" wrapText="1"/>
    </xf>
    <xf numFmtId="0" fontId="3" fillId="9" borderId="69" xfId="0" applyFont="1" applyFill="1" applyBorder="1" applyAlignment="1">
      <alignment horizontal="left" vertical="center" wrapText="1"/>
    </xf>
    <xf numFmtId="0" fontId="5" fillId="14" borderId="49" xfId="0" applyFont="1" applyFill="1" applyBorder="1" applyAlignment="1">
      <alignment wrapText="1"/>
    </xf>
    <xf numFmtId="0" fontId="5" fillId="14" borderId="50" xfId="0" applyFont="1" applyFill="1" applyBorder="1" applyAlignment="1">
      <alignment wrapText="1"/>
    </xf>
    <xf numFmtId="0" fontId="5" fillId="14" borderId="66" xfId="0" applyFont="1" applyFill="1" applyBorder="1" applyAlignment="1">
      <alignment wrapText="1"/>
    </xf>
    <xf numFmtId="0" fontId="4" fillId="7" borderId="68" xfId="0" applyFont="1" applyFill="1" applyBorder="1" applyAlignment="1">
      <alignment horizontal="center" vertical="center" wrapText="1"/>
    </xf>
    <xf numFmtId="0" fontId="4" fillId="7" borderId="49" xfId="0" applyFont="1" applyFill="1" applyBorder="1" applyAlignment="1">
      <alignment horizontal="center" wrapText="1"/>
    </xf>
    <xf numFmtId="0" fontId="5" fillId="0" borderId="50" xfId="0" applyFont="1" applyBorder="1" applyAlignment="1">
      <alignment wrapText="1"/>
    </xf>
    <xf numFmtId="0" fontId="3" fillId="5" borderId="69" xfId="0" applyFont="1" applyFill="1" applyBorder="1" applyAlignment="1">
      <alignment horizontal="left" vertical="center" wrapText="1"/>
    </xf>
    <xf numFmtId="0" fontId="5" fillId="0" borderId="66" xfId="0" applyFont="1" applyBorder="1" applyAlignment="1">
      <alignment wrapText="1"/>
    </xf>
    <xf numFmtId="0" fontId="5" fillId="0" borderId="54" xfId="0" applyFont="1" applyBorder="1" applyAlignment="1">
      <alignment horizontal="left" vertical="center" wrapText="1"/>
    </xf>
    <xf numFmtId="0" fontId="5" fillId="15" borderId="70" xfId="0" applyFont="1" applyFill="1" applyBorder="1" applyAlignment="1">
      <alignment horizontal="center" vertical="center" wrapText="1"/>
    </xf>
    <xf numFmtId="0" fontId="5" fillId="0" borderId="70" xfId="0" applyFont="1" applyBorder="1" applyAlignment="1">
      <alignment horizontal="left" vertical="center" wrapText="1"/>
    </xf>
    <xf numFmtId="0" fontId="5" fillId="16" borderId="54"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39"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4" fillId="8" borderId="56" xfId="0" applyFont="1" applyFill="1" applyBorder="1" applyAlignment="1" applyProtection="1">
      <alignment horizontal="center" vertical="center" wrapText="1"/>
    </xf>
    <xf numFmtId="0" fontId="4" fillId="8" borderId="57" xfId="0" applyFont="1" applyFill="1" applyBorder="1" applyAlignment="1" applyProtection="1">
      <alignment horizontal="center" vertical="center" wrapText="1"/>
    </xf>
    <xf numFmtId="0" fontId="4" fillId="8" borderId="58" xfId="0" applyFont="1" applyFill="1" applyBorder="1" applyAlignment="1" applyProtection="1">
      <alignment horizontal="center"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0" fontId="5" fillId="0" borderId="1" xfId="0" applyFont="1" applyBorder="1" applyAlignment="1">
      <alignment horizontal="left" vertical="center" wrapText="1"/>
    </xf>
    <xf numFmtId="0" fontId="5"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39" fillId="4" borderId="61" xfId="0" applyFont="1" applyFill="1" applyBorder="1" applyAlignment="1">
      <alignment horizontal="center" vertical="center" wrapText="1"/>
    </xf>
    <xf numFmtId="0" fontId="39" fillId="4" borderId="63" xfId="0" applyFont="1" applyFill="1" applyBorder="1" applyAlignment="1">
      <alignment horizontal="center" vertical="center" wrapText="1"/>
    </xf>
    <xf numFmtId="0" fontId="39" fillId="4" borderId="64" xfId="0" applyFont="1" applyFill="1" applyBorder="1" applyAlignment="1">
      <alignment horizontal="center" vertical="center" wrapText="1"/>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39" fillId="4" borderId="59" xfId="0" applyFont="1" applyFill="1" applyBorder="1" applyAlignment="1">
      <alignment horizontal="center" vertical="center" wrapText="1"/>
    </xf>
    <xf numFmtId="0" fontId="39" fillId="4" borderId="60" xfId="0" applyFont="1" applyFill="1" applyBorder="1" applyAlignment="1">
      <alignment horizontal="center" vertical="center" wrapText="1"/>
    </xf>
    <xf numFmtId="0" fontId="39" fillId="4" borderId="67" xfId="0" applyFont="1" applyFill="1" applyBorder="1" applyAlignment="1">
      <alignment horizontal="center" vertical="center" wrapText="1"/>
    </xf>
    <xf numFmtId="0" fontId="40" fillId="0" borderId="53" xfId="0" applyFont="1" applyBorder="1" applyAlignment="1">
      <alignment horizontal="center" vertical="center"/>
    </xf>
    <xf numFmtId="0" fontId="40" fillId="0" borderId="12" xfId="0" applyFont="1" applyBorder="1" applyAlignment="1">
      <alignment horizontal="center" vertical="center"/>
    </xf>
    <xf numFmtId="0" fontId="40" fillId="0" borderId="13" xfId="0" applyFont="1" applyBorder="1" applyAlignment="1">
      <alignment horizontal="center" vertical="center"/>
    </xf>
    <xf numFmtId="0" fontId="41" fillId="3" borderId="1" xfId="0" applyFont="1" applyFill="1" applyBorder="1" applyAlignment="1">
      <alignment horizontal="center" vertical="center" wrapText="1"/>
    </xf>
    <xf numFmtId="0" fontId="20" fillId="8" borderId="9" xfId="0" applyFont="1" applyFill="1" applyBorder="1" applyAlignment="1" applyProtection="1">
      <alignment horizontal="center" vertical="center"/>
      <protection locked="0"/>
    </xf>
    <xf numFmtId="0" fontId="20" fillId="8" borderId="10" xfId="0" applyFont="1" applyFill="1" applyBorder="1" applyAlignment="1" applyProtection="1">
      <alignment horizontal="center" vertical="center"/>
      <protection locked="0"/>
    </xf>
    <xf numFmtId="0" fontId="20" fillId="8" borderId="11" xfId="0" applyFont="1" applyFill="1" applyBorder="1" applyAlignment="1" applyProtection="1">
      <alignment horizontal="center" vertical="center"/>
      <protection locked="0"/>
    </xf>
    <xf numFmtId="0" fontId="21" fillId="0" borderId="9" xfId="0" applyFont="1" applyBorder="1" applyAlignment="1" applyProtection="1">
      <alignment horizontal="center" wrapText="1"/>
      <protection locked="0"/>
    </xf>
    <xf numFmtId="0" fontId="21" fillId="0" borderId="11" xfId="0" applyFont="1" applyBorder="1" applyAlignment="1" applyProtection="1">
      <alignment horizontal="center" wrapText="1"/>
      <protection locked="0"/>
    </xf>
    <xf numFmtId="0" fontId="3" fillId="10" borderId="15" xfId="0" applyFont="1" applyFill="1" applyBorder="1" applyAlignment="1" applyProtection="1">
      <alignment horizontal="center" vertical="center" wrapText="1"/>
      <protection locked="0"/>
    </xf>
    <xf numFmtId="0" fontId="3" fillId="10" borderId="16" xfId="0" applyFont="1" applyFill="1" applyBorder="1" applyAlignment="1" applyProtection="1">
      <alignment horizontal="center" vertical="center" wrapText="1"/>
      <protection locked="0"/>
    </xf>
    <xf numFmtId="0" fontId="3" fillId="10" borderId="17" xfId="0" applyFont="1" applyFill="1" applyBorder="1" applyAlignment="1" applyProtection="1">
      <alignment horizontal="center" vertical="center" wrapText="1"/>
      <protection locked="0"/>
    </xf>
    <xf numFmtId="0" fontId="27" fillId="0" borderId="9" xfId="0" applyFont="1" applyBorder="1" applyAlignment="1" applyProtection="1">
      <alignment horizontal="center" vertical="center" wrapText="1"/>
      <protection locked="0"/>
    </xf>
    <xf numFmtId="0" fontId="27" fillId="0" borderId="11" xfId="0" applyFont="1" applyBorder="1" applyAlignment="1" applyProtection="1">
      <alignment horizontal="center" vertical="center" wrapText="1"/>
      <protection locked="0"/>
    </xf>
    <xf numFmtId="0" fontId="3" fillId="10" borderId="12" xfId="0" applyFont="1" applyFill="1" applyBorder="1" applyAlignment="1" applyProtection="1">
      <alignment horizontal="center" vertical="center" wrapText="1"/>
      <protection locked="0"/>
    </xf>
    <xf numFmtId="0" fontId="3" fillId="10" borderId="31" xfId="0" applyFont="1" applyFill="1" applyBorder="1" applyAlignment="1" applyProtection="1">
      <alignment horizontal="center" vertical="center" wrapText="1"/>
      <protection locked="0"/>
    </xf>
    <xf numFmtId="0" fontId="3" fillId="10" borderId="30" xfId="0" applyFont="1" applyFill="1" applyBorder="1" applyAlignment="1" applyProtection="1">
      <alignment horizontal="center" vertical="center" wrapText="1"/>
      <protection locked="0"/>
    </xf>
    <xf numFmtId="0" fontId="3" fillId="10" borderId="25" xfId="0" applyFont="1" applyFill="1" applyBorder="1" applyAlignment="1" applyProtection="1">
      <alignment horizontal="center" vertical="center" wrapText="1"/>
      <protection locked="0"/>
    </xf>
    <xf numFmtId="0" fontId="3" fillId="10" borderId="14" xfId="0" applyFont="1" applyFill="1" applyBorder="1" applyAlignment="1" applyProtection="1">
      <alignment horizontal="center" vertical="center" wrapText="1"/>
      <protection locked="0"/>
    </xf>
    <xf numFmtId="0" fontId="3" fillId="10" borderId="24" xfId="0" applyFont="1" applyFill="1" applyBorder="1" applyAlignment="1" applyProtection="1">
      <alignment horizontal="center" vertical="center" wrapText="1"/>
      <protection locked="0"/>
    </xf>
    <xf numFmtId="0" fontId="3" fillId="10" borderId="23" xfId="0" applyFont="1" applyFill="1" applyBorder="1" applyAlignment="1" applyProtection="1">
      <alignment horizontal="center" vertical="center" wrapText="1"/>
      <protection locked="0"/>
    </xf>
    <xf numFmtId="0" fontId="3" fillId="10" borderId="26" xfId="0" applyFont="1" applyFill="1" applyBorder="1" applyAlignment="1" applyProtection="1">
      <alignment horizontal="center" vertical="center" wrapText="1"/>
      <protection locked="0"/>
    </xf>
    <xf numFmtId="0" fontId="23" fillId="8" borderId="9" xfId="0" applyFont="1" applyFill="1" applyBorder="1" applyAlignment="1" applyProtection="1">
      <alignment horizontal="center" vertical="center" wrapText="1"/>
      <protection locked="0"/>
    </xf>
    <xf numFmtId="0" fontId="23" fillId="8" borderId="10" xfId="0" applyFont="1" applyFill="1" applyBorder="1" applyAlignment="1" applyProtection="1">
      <alignment horizontal="center" vertical="center" wrapText="1"/>
      <protection locked="0"/>
    </xf>
    <xf numFmtId="0" fontId="23" fillId="8" borderId="11"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xf>
    <xf numFmtId="0" fontId="3" fillId="4" borderId="3" xfId="0" applyFont="1" applyFill="1" applyBorder="1" applyAlignment="1" applyProtection="1">
      <alignment horizontal="center" vertical="center" wrapText="1"/>
    </xf>
    <xf numFmtId="0" fontId="3" fillId="4" borderId="4" xfId="0" applyFont="1" applyFill="1" applyBorder="1" applyAlignment="1" applyProtection="1">
      <alignment horizontal="center" vertical="center" wrapText="1"/>
    </xf>
    <xf numFmtId="0" fontId="5" fillId="0" borderId="1" xfId="0" applyFont="1" applyBorder="1" applyAlignment="1" applyProtection="1">
      <alignment horizontal="left" vertical="center"/>
    </xf>
    <xf numFmtId="15" fontId="5" fillId="0" borderId="1" xfId="0" applyNumberFormat="1" applyFont="1" applyBorder="1" applyAlignment="1" applyProtection="1">
      <alignment horizontal="left" vertical="center"/>
    </xf>
    <xf numFmtId="0" fontId="5" fillId="0" borderId="1" xfId="0" applyFont="1" applyBorder="1" applyAlignment="1" applyProtection="1">
      <alignment horizontal="left" vertical="center" wrapText="1"/>
    </xf>
    <xf numFmtId="0" fontId="5" fillId="0" borderId="2" xfId="0" applyFont="1" applyBorder="1" applyAlignment="1" applyProtection="1">
      <alignment horizontal="left" vertical="center" wrapText="1"/>
    </xf>
    <xf numFmtId="0" fontId="5" fillId="0" borderId="3" xfId="0" applyFont="1" applyBorder="1" applyAlignment="1" applyProtection="1">
      <alignment horizontal="left" vertical="center" wrapText="1"/>
    </xf>
    <xf numFmtId="0" fontId="5" fillId="0" borderId="4" xfId="0" applyFont="1" applyBorder="1" applyAlignment="1" applyProtection="1">
      <alignment horizontal="left" vertical="center" wrapText="1"/>
    </xf>
    <xf numFmtId="0" fontId="5" fillId="0" borderId="0" xfId="0" applyFont="1" applyAlignment="1" applyProtection="1">
      <alignment horizontal="center" vertical="center" wrapText="1"/>
    </xf>
    <xf numFmtId="0" fontId="5" fillId="0" borderId="0" xfId="0" applyFont="1" applyAlignment="1" applyProtection="1">
      <alignment horizontal="center" wrapText="1"/>
    </xf>
    <xf numFmtId="0" fontId="30" fillId="13" borderId="0" xfId="0" applyFont="1" applyFill="1" applyAlignment="1" applyProtection="1">
      <alignment horizontal="center" vertical="center" wrapText="1"/>
    </xf>
    <xf numFmtId="0" fontId="3" fillId="10" borderId="15" xfId="0" applyFont="1" applyFill="1" applyBorder="1" applyAlignment="1" applyProtection="1">
      <alignment horizontal="center" vertical="center" wrapText="1"/>
    </xf>
    <xf numFmtId="0" fontId="3" fillId="10" borderId="16" xfId="0" applyFont="1" applyFill="1" applyBorder="1" applyAlignment="1" applyProtection="1">
      <alignment horizontal="center" vertical="center" wrapText="1"/>
    </xf>
    <xf numFmtId="0" fontId="3" fillId="10" borderId="17" xfId="0" applyFont="1" applyFill="1" applyBorder="1" applyAlignment="1" applyProtection="1">
      <alignment horizontal="center" vertical="center" wrapText="1"/>
    </xf>
    <xf numFmtId="0" fontId="20" fillId="8" borderId="9" xfId="0" applyFont="1" applyFill="1" applyBorder="1" applyAlignment="1" applyProtection="1">
      <alignment horizontal="center" vertical="center"/>
    </xf>
    <xf numFmtId="0" fontId="20" fillId="8" borderId="10" xfId="0" applyFont="1" applyFill="1" applyBorder="1" applyAlignment="1" applyProtection="1">
      <alignment horizontal="center" vertical="center"/>
    </xf>
    <xf numFmtId="0" fontId="20" fillId="8" borderId="11" xfId="0" applyFont="1" applyFill="1" applyBorder="1" applyAlignment="1" applyProtection="1">
      <alignment horizontal="center" vertical="center"/>
    </xf>
    <xf numFmtId="0" fontId="3" fillId="10" borderId="30" xfId="0" applyFont="1" applyFill="1" applyBorder="1" applyAlignment="1">
      <alignment horizontal="center" vertical="center" wrapText="1"/>
    </xf>
    <xf numFmtId="0" fontId="3" fillId="10" borderId="25" xfId="0" applyFont="1" applyFill="1" applyBorder="1" applyAlignment="1">
      <alignment horizontal="center" vertical="center" wrapText="1"/>
    </xf>
    <xf numFmtId="0" fontId="23" fillId="8" borderId="9" xfId="0" applyFont="1" applyFill="1" applyBorder="1" applyAlignment="1">
      <alignment horizontal="center" vertical="center" wrapText="1"/>
    </xf>
    <xf numFmtId="0" fontId="23" fillId="8" borderId="10"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24" xfId="0" applyFont="1" applyFill="1" applyBorder="1" applyAlignment="1">
      <alignment horizontal="center" vertical="center" wrapText="1"/>
    </xf>
    <xf numFmtId="0" fontId="3" fillId="10" borderId="23"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3" fillId="10" borderId="26" xfId="0" applyFont="1" applyFill="1" applyBorder="1" applyAlignment="1">
      <alignment horizontal="center" vertical="center" wrapText="1"/>
    </xf>
  </cellXfs>
  <cellStyles count="4">
    <cellStyle name="Currency" xfId="2" builtinId="4"/>
    <cellStyle name="Hyperlink" xfId="3" builtinId="8"/>
    <cellStyle name="Normal" xfId="0" builtinId="0"/>
    <cellStyle name="Percent" xfId="1" builtinId="5"/>
  </cellStyles>
  <dxfs count="185">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protection locked="1" hidden="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protection locked="1" hidden="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protection locked="1" hidden="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protection locked="1" hidden="0"/>
    </dxf>
    <dxf>
      <font>
        <b/>
        <strike val="0"/>
        <outline val="0"/>
        <shadow val="0"/>
        <vertAlign val="baseline"/>
        <sz val="10"/>
        <name val="Arial"/>
        <family val="2"/>
        <scheme val="none"/>
      </font>
      <fill>
        <patternFill patternType="none">
          <fgColor indexed="64"/>
          <bgColor auto="1"/>
        </patternFill>
      </fill>
      <alignment horizontal="center" vertical="center" textRotation="0" wrapText="0" indent="0" justifyLastLine="0" shrinkToFit="0" readingOrder="0"/>
      <protection locked="1" hidden="0"/>
    </dxf>
    <dxf>
      <font>
        <strike val="0"/>
        <outline val="0"/>
        <shadow val="0"/>
        <vertAlign val="baseline"/>
        <sz val="10"/>
        <name val="Arial"/>
        <family val="2"/>
        <scheme val="none"/>
      </font>
      <fill>
        <patternFill patternType="none">
          <fgColor rgb="FF000000"/>
          <bgColor auto="1"/>
        </patternFill>
      </fill>
      <alignment horizontal="left" vertical="center" textRotation="0" indent="0" justifyLastLine="0" shrinkToFit="0" readingOrder="0"/>
      <protection locked="1" hidden="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protection locked="1"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1"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1"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1" hidden="0"/>
    </dxf>
    <dxf>
      <font>
        <b/>
        <strike val="0"/>
        <outline val="0"/>
        <shadow val="0"/>
        <vertAlign val="baseline"/>
        <sz val="10"/>
        <name val="Arial"/>
        <family val="2"/>
        <scheme val="none"/>
      </font>
      <alignment horizontal="left" vertical="center" textRotation="0" wrapText="0" indent="0" justifyLastLine="0" shrinkToFit="0" readingOrder="0"/>
      <protection locked="1" hidden="0"/>
    </dxf>
    <dxf>
      <font>
        <strike val="0"/>
        <outline val="0"/>
        <shadow val="0"/>
        <vertAlign val="baseline"/>
        <sz val="10"/>
        <name val="Arial"/>
        <family val="2"/>
        <scheme val="none"/>
      </font>
      <alignment horizontal="left" vertical="center" textRotation="0" wrapText="1" indent="0" justifyLastLine="0" shrinkToFit="0" readingOrder="0"/>
      <protection locked="1" hidden="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protection locked="1" hidden="0"/>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protection locked="1" hidden="0"/>
    </dxf>
    <dxf>
      <font>
        <strike val="0"/>
        <outline val="0"/>
        <shadow val="0"/>
        <vertAlign val="baseline"/>
        <sz val="10"/>
        <name val="Arial"/>
        <family val="2"/>
        <scheme val="none"/>
      </font>
      <alignment horizontal="center" vertical="center" textRotation="0" wrapText="0" indent="0" justifyLastLine="0" shrinkToFit="0" readingOrder="0"/>
      <protection locked="1" hidden="0"/>
    </dxf>
    <dxf>
      <font>
        <strike val="0"/>
        <outline val="0"/>
        <shadow val="0"/>
        <vertAlign val="baseline"/>
        <sz val="10"/>
        <name val="Arial"/>
        <family val="2"/>
        <scheme val="none"/>
      </font>
      <alignment horizontal="right" vertical="center" textRotation="0" wrapText="0" indent="0" justifyLastLine="0" shrinkToFit="0" readingOrder="0"/>
      <protection locked="1" hidden="0"/>
    </dxf>
    <dxf>
      <font>
        <strike val="0"/>
        <outline val="0"/>
        <shadow val="0"/>
        <vertAlign val="baseline"/>
        <sz val="10"/>
        <name val="Arial"/>
        <family val="2"/>
        <scheme val="none"/>
      </font>
      <alignment horizontal="right" vertical="center" textRotation="0" wrapText="0" indent="0" justifyLastLine="0" shrinkToFit="0" readingOrder="0"/>
      <protection locked="1" hidden="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1"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right/>
        <top style="medium">
          <color rgb="FF0086BF"/>
        </top>
        <bottom style="medium">
          <color rgb="FF0086BF"/>
        </bottom>
      </border>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strike val="0"/>
        <outline val="0"/>
        <shadow val="0"/>
        <vertAlign val="baseline"/>
        <sz val="10"/>
        <name val="Arial"/>
        <family val="2"/>
        <scheme val="none"/>
      </font>
      <fill>
        <patternFill patternType="none">
          <fgColor rgb="FF000000"/>
          <bgColor auto="1"/>
        </patternFill>
      </fill>
      <protection locked="1" hidden="0"/>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protection locked="1" hidden="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Arial"/>
        <family val="2"/>
        <scheme val="none"/>
      </font>
      <numFmt numFmtId="13" formatCode="0%"/>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b/>
        <strike val="0"/>
        <outline val="0"/>
        <shadow val="0"/>
        <vertAlign val="baseline"/>
        <sz val="10"/>
        <name val="Arial"/>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Arial"/>
        <family val="2"/>
        <scheme val="none"/>
      </font>
      <fill>
        <patternFill patternType="none">
          <fgColor rgb="FF000000"/>
          <bgColor auto="1"/>
        </patternFill>
      </fill>
      <alignment horizontal="left" vertical="center" textRotation="0"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vertAlign val="baseline"/>
        <sz val="10"/>
        <name val="Arial"/>
        <family val="2"/>
        <scheme val="none"/>
      </font>
      <alignment horizontal="left" vertical="center" textRotation="0" wrapText="0" indent="0" justifyLastLine="0" shrinkToFit="0" readingOrder="0"/>
    </dxf>
    <dxf>
      <font>
        <strike val="0"/>
        <outline val="0"/>
        <shadow val="0"/>
        <vertAlign val="baseline"/>
        <sz val="10"/>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b/>
        <strike val="0"/>
        <outline val="0"/>
        <shadow val="0"/>
        <vertAlign val="baseline"/>
        <sz val="10"/>
        <name val="Arial"/>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Arial"/>
        <family val="2"/>
        <scheme val="none"/>
      </font>
      <fill>
        <patternFill patternType="none">
          <fgColor rgb="FF000000"/>
          <bgColor auto="1"/>
        </patternFill>
      </fill>
      <alignment horizontal="left" vertical="center" textRotation="0"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vertAlign val="baseline"/>
        <sz val="10"/>
        <name val="Arial"/>
        <family val="2"/>
        <scheme val="none"/>
      </font>
      <alignment horizontal="left" vertical="center" textRotation="0" wrapText="0" indent="0" justifyLastLine="0" shrinkToFit="0" readingOrder="0"/>
    </dxf>
    <dxf>
      <font>
        <strike val="0"/>
        <outline val="0"/>
        <shadow val="0"/>
        <vertAlign val="baseline"/>
        <sz val="10"/>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right/>
        <top style="medium">
          <color rgb="FF0086BF"/>
        </top>
        <bottom style="medium">
          <color rgb="FF0086BF"/>
        </bottom>
      </border>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1" indent="0" justifyLastLine="0" shrinkToFit="0" readingOrder="0"/>
    </dxf>
    <dxf>
      <font>
        <b/>
        <strike val="0"/>
        <outline val="0"/>
        <shadow val="0"/>
        <vertAlign val="baseline"/>
        <sz val="10"/>
        <name val="Arial"/>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u val="none"/>
        <vertAlign val="baseline"/>
        <sz val="10"/>
        <color rgb="FF7030A0"/>
        <name val="Arial"/>
        <family val="2"/>
        <scheme val="none"/>
      </font>
      <alignment horizontal="center" vertical="center" textRotation="0" wrapText="1" indent="0" justifyLastLine="0" shrinkToFit="0" readingOrder="0"/>
      <protection locked="0" hidden="0"/>
    </dxf>
    <dxf>
      <font>
        <b/>
        <strike val="0"/>
        <outline val="0"/>
        <shadow val="0"/>
        <vertAlign val="baseline"/>
        <sz val="10"/>
        <name val="Arial"/>
        <family val="2"/>
        <scheme val="none"/>
      </font>
      <alignment horizontal="left" vertical="center" textRotation="0" wrapText="0" indent="0" justifyLastLine="0" shrinkToFit="0" readingOrder="0"/>
    </dxf>
    <dxf>
      <font>
        <strike val="0"/>
        <outline val="0"/>
        <shadow val="0"/>
        <vertAlign val="baseline"/>
        <sz val="10"/>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rgb="FF92D050"/>
        </patternFill>
      </fill>
      <alignment horizontal="center" vertical="center" textRotation="0" wrapText="1" indent="0" justifyLastLine="0" shrinkToFit="0" readingOrder="0"/>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4"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right/>
        <top style="medium">
          <color rgb="FF0086BF"/>
        </top>
        <bottom style="medium">
          <color rgb="FF0086BF"/>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strike val="0"/>
        <outline val="0"/>
        <shadow val="0"/>
        <vertAlign val="baseline"/>
        <sz val="10"/>
        <name val="Arial"/>
        <family val="2"/>
        <scheme val="none"/>
      </font>
      <fill>
        <patternFill patternType="none">
          <fgColor indexed="64"/>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colors>
    <mruColors>
      <color rgb="FF003B5C"/>
      <color rgb="FFA39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70971</xdr:rowOff>
    </xdr:from>
    <xdr:to>
      <xdr:col>11</xdr:col>
      <xdr:colOff>635000</xdr:colOff>
      <xdr:row>61</xdr:row>
      <xdr:rowOff>119529</xdr:rowOff>
    </xdr:to>
    <xdr:pic>
      <xdr:nvPicPr>
        <xdr:cNvPr id="2" name="Picture 1">
          <a:extLst>
            <a:ext uri="{FF2B5EF4-FFF2-40B4-BE49-F238E27FC236}">
              <a16:creationId xmlns:a16="http://schemas.microsoft.com/office/drawing/2014/main" id="{68F3887D-EB1A-45D2-8EB0-D4FB92AE26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51971"/>
          <a:ext cx="9017000" cy="11669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257789</xdr:colOff>
      <xdr:row>1</xdr:row>
      <xdr:rowOff>152400</xdr:rowOff>
    </xdr:from>
    <xdr:to>
      <xdr:col>0</xdr:col>
      <xdr:colOff>3537564</xdr:colOff>
      <xdr:row>2</xdr:row>
      <xdr:rowOff>723900</xdr:rowOff>
    </xdr:to>
    <xdr:pic>
      <xdr:nvPicPr>
        <xdr:cNvPr id="2" name="Picture 1">
          <a:extLst>
            <a:ext uri="{FF2B5EF4-FFF2-40B4-BE49-F238E27FC236}">
              <a16:creationId xmlns:a16="http://schemas.microsoft.com/office/drawing/2014/main" id="{7317FC18-BF3B-4AC3-859F-57046C40D8F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dr:blipFill>
      <xdr:spPr>
        <a:xfrm>
          <a:off x="257789" y="342900"/>
          <a:ext cx="3279775" cy="762000"/>
        </a:xfrm>
        <a:prstGeom prst="rect">
          <a:avLst/>
        </a:prstGeom>
      </xdr:spPr>
    </xdr:pic>
    <xdr:clientData/>
  </xdr:twoCellAnchor>
  <xdr:twoCellAnchor editAs="oneCell">
    <xdr:from>
      <xdr:col>0</xdr:col>
      <xdr:colOff>203200</xdr:colOff>
      <xdr:row>7</xdr:row>
      <xdr:rowOff>0</xdr:rowOff>
    </xdr:from>
    <xdr:to>
      <xdr:col>1</xdr:col>
      <xdr:colOff>749300</xdr:colOff>
      <xdr:row>11</xdr:row>
      <xdr:rowOff>101600</xdr:rowOff>
    </xdr:to>
    <xdr:pic>
      <xdr:nvPicPr>
        <xdr:cNvPr id="3" name="Graphic 2">
          <a:extLst>
            <a:ext uri="{FF2B5EF4-FFF2-40B4-BE49-F238E27FC236}">
              <a16:creationId xmlns:a16="http://schemas.microsoft.com/office/drawing/2014/main" id="{6DB39E1C-F375-40CA-9E97-C989E6F338F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3200" y="3143250"/>
          <a:ext cx="5403850" cy="1206500"/>
        </a:xfrm>
        <a:prstGeom prst="rect">
          <a:avLst/>
        </a:prstGeom>
      </xdr:spPr>
    </xdr:pic>
    <xdr:clientData/>
  </xdr:twoCellAnchor>
  <xdr:twoCellAnchor editAs="oneCell">
    <xdr:from>
      <xdr:col>0</xdr:col>
      <xdr:colOff>209550</xdr:colOff>
      <xdr:row>11</xdr:row>
      <xdr:rowOff>123825</xdr:rowOff>
    </xdr:from>
    <xdr:to>
      <xdr:col>0</xdr:col>
      <xdr:colOff>3962400</xdr:colOff>
      <xdr:row>16</xdr:row>
      <xdr:rowOff>2241</xdr:rowOff>
    </xdr:to>
    <xdr:pic>
      <xdr:nvPicPr>
        <xdr:cNvPr id="4" name="Picture 3">
          <a:extLst>
            <a:ext uri="{FF2B5EF4-FFF2-40B4-BE49-F238E27FC236}">
              <a16:creationId xmlns:a16="http://schemas.microsoft.com/office/drawing/2014/main" id="{875C4CAC-7278-4AA9-AC67-776CF918823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9550" y="4371975"/>
          <a:ext cx="3752850" cy="1011891"/>
        </a:xfrm>
        <a:prstGeom prst="rect">
          <a:avLst/>
        </a:prstGeom>
      </xdr:spPr>
    </xdr:pic>
    <xdr:clientData/>
  </xdr:twoCellAnchor>
  <xdr:twoCellAnchor editAs="oneCell">
    <xdr:from>
      <xdr:col>0</xdr:col>
      <xdr:colOff>152401</xdr:colOff>
      <xdr:row>20</xdr:row>
      <xdr:rowOff>148371</xdr:rowOff>
    </xdr:from>
    <xdr:to>
      <xdr:col>0</xdr:col>
      <xdr:colOff>2914650</xdr:colOff>
      <xdr:row>24</xdr:row>
      <xdr:rowOff>27797</xdr:rowOff>
    </xdr:to>
    <xdr:pic>
      <xdr:nvPicPr>
        <xdr:cNvPr id="5" name="Picture 4">
          <a:extLst>
            <a:ext uri="{FF2B5EF4-FFF2-40B4-BE49-F238E27FC236}">
              <a16:creationId xmlns:a16="http://schemas.microsoft.com/office/drawing/2014/main" id="{3091ED4B-D26C-4EF7-9519-10E9F894CBB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2401" y="6291996"/>
          <a:ext cx="2762249" cy="641426"/>
        </a:xfrm>
        <a:prstGeom prst="rect">
          <a:avLst/>
        </a:prstGeom>
      </xdr:spPr>
    </xdr:pic>
    <xdr:clientData/>
  </xdr:twoCellAnchor>
  <xdr:twoCellAnchor editAs="oneCell">
    <xdr:from>
      <xdr:col>0</xdr:col>
      <xdr:colOff>4524375</xdr:colOff>
      <xdr:row>20</xdr:row>
      <xdr:rowOff>114301</xdr:rowOff>
    </xdr:from>
    <xdr:to>
      <xdr:col>1</xdr:col>
      <xdr:colOff>3543300</xdr:colOff>
      <xdr:row>24</xdr:row>
      <xdr:rowOff>32091</xdr:rowOff>
    </xdr:to>
    <xdr:pic>
      <xdr:nvPicPr>
        <xdr:cNvPr id="6" name="Picture 5">
          <a:extLst>
            <a:ext uri="{FF2B5EF4-FFF2-40B4-BE49-F238E27FC236}">
              <a16:creationId xmlns:a16="http://schemas.microsoft.com/office/drawing/2014/main" id="{396D1811-6518-47D1-B305-B6FA5A4E8C4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524375" y="6257926"/>
          <a:ext cx="3876675" cy="679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rols/CIS-RAM/CIS%20RAM%202.0/Final%20Drafts/Marketing/CIS%20RAM%20for%20IG1%20Workbook%20v21.10.Spreadsheet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bnfileserver\homedrive\Controls\CIS-RAM\CIS%20RAM%202.0\CSAT\CIS%20RAM%20IG1%20Workbook%20-%20Draft%20-%20Protected%20-%2020210628_csat_tab%20-%20V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isk Register 7.1 for IG1"/>
      <sheetName val="Risk Register 8 for IG1"/>
      <sheetName val="Legend"/>
      <sheetName val="Lookup Tables"/>
      <sheetName val="CIS CSAT Pro"/>
      <sheetName val="CIS-Hosted CSAT"/>
      <sheetName val="CIS Controls Resources"/>
      <sheetName val="Risk Register 7.1 - EXAMPLE"/>
      <sheetName val="CIS CSAT Pro - EXAMPLE"/>
      <sheetName val="CIS-Hosted CSAT - EXAMPLE"/>
      <sheetName val="CIS RAM for IG1 Workbook v21"/>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Register 7.1 for IG1"/>
      <sheetName val="Risk Register 8 for IG1"/>
      <sheetName val="Lookup Tables"/>
      <sheetName val="import_from_CSAT"/>
      <sheetName val="CIS RAM IG1 Workbook - Draft - "/>
    </sheetNames>
    <sheetDataSet>
      <sheetData sheetId="0"/>
      <sheetData sheetId="1" refreshError="1"/>
      <sheetData sheetId="2"/>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2A27D7-61B8-430D-B69B-1B59811569E3}" name="tblRiskRegister" displayName="tblRiskRegister" ref="B33:AA76" totalsRowShown="0" headerRowDxfId="184" dataDxfId="183">
  <autoFilter ref="B33:AA76" xr:uid="{9DD1637E-6A24-4152-BF1D-6C69C54474D3}"/>
  <sortState ref="B34:L76">
    <sortCondition ref="B33:B76"/>
  </sortState>
  <tableColumns count="26">
    <tableColumn id="1" xr3:uid="{93687955-12A0-4CBC-A908-DEDE29D1F156}" name="CIS Safeguard #" dataDxfId="182"/>
    <tableColumn id="2" xr3:uid="{3D061BEC-ED83-481D-9191-E5618E439C3F}" name="CIS Safeguard Title" dataDxfId="181"/>
    <tableColumn id="4" xr3:uid="{CDF0997F-C942-4A78-9724-11DA5B53DEDC}" name="Asset Class" dataDxfId="180"/>
    <tableColumn id="3" xr3:uid="{A8B59FF6-0B89-4A64-8D24-918ED6066BDB}" name="Safeguard Maturity Score" dataDxfId="179"/>
    <tableColumn id="27" xr3:uid="{A161AB2F-B724-4C14-91A0-A0B49B0D944F}" name="VCDB Index" dataDxfId="178">
      <calculatedColumnFormula>IFERROR(VLOOKUP(tblRiskRegister[[#This Row],[Asset Class]],tblVCDBIndex[],4,FALSE),"")</calculatedColumnFormula>
    </tableColumn>
    <tableColumn id="9" xr3:uid="{A152BC6F-E2B9-4DA9-A2D5-8910DBD475EB}" name="Expectancy Score" dataDxfId="177">
      <calculatedColumnFormula>IFERROR(VLOOKUP(10*tblRiskRegister[[#This Row],[Safeguard Maturity Score]]+tblRiskRegister[[#This Row],[VCDB Index]],tblHITIndexWeightTable[],4,FALSE),"")</calculatedColumnFormula>
    </tableColumn>
    <tableColumn id="10" xr3:uid="{525D42ED-649B-4F63-9161-5FC520B90C8A}" name="Impact to Mission" dataDxfId="176">
      <calculatedColumnFormula>VLOOKUP(tblRiskRegister[[#This Row],[Asset Class]],tblImpactIndex[],2,FALSE)</calculatedColumnFormula>
    </tableColumn>
    <tableColumn id="11" xr3:uid="{CD69F313-D866-4D4E-A8B0-5163D8EB2A20}" name="Impact to Operational Objectives" dataDxfId="175">
      <calculatedColumnFormula>VLOOKUP(tblRiskRegister[[#This Row],[Asset Class]],tblImpactIndex[],3,FALSE)</calculatedColumnFormula>
    </tableColumn>
    <tableColumn id="12" xr3:uid="{DFCFA3E3-F664-4994-AFC3-03652C8BFF37}" name="Impact to Obligations" dataDxfId="174">
      <calculatedColumnFormula>VLOOKUP(tblRiskRegister[[#This Row],[Asset Class]],tblImpactIndex[],4,FALSE)</calculatedColumnFormula>
    </tableColumn>
    <tableColumn id="13" xr3:uid="{F63A4802-B989-4C3B-B668-5D1F4CE9E2D7}" name="Risk Score" dataDxfId="173">
      <calculatedColumnFormula>IFERROR(MAX(tblRiskRegister[[#This Row],[Impact to Mission]:[Impact to Obligations]])*tblRiskRegister[[#This Row],[Expectancy Score]],"")</calculatedColumnFormula>
    </tableColumn>
    <tableColumn id="14" xr3:uid="{8333BB9C-4572-4920-AE29-8C9109FCA71F}" name="Risk Level" dataDxfId="172">
      <calculatedColumnFormula>tblRiskRegister[[#This Row],[Risk Score]]</calculatedColumnFormula>
    </tableColumn>
    <tableColumn id="25" xr3:uid="{2A58E972-A2A3-46AB-878E-4E31877D946F}" name="Risk Treatment Option" dataDxfId="171"/>
    <tableColumn id="5" xr3:uid="{4A3995EB-FB46-4BD5-A124-6A69E24EA5DA}" name="Risk Treatment Safeguard" dataDxfId="170"/>
    <tableColumn id="6" xr3:uid="{A80ADF3C-9455-43FF-91A5-FC31DA0616FD}" name="Risk Treatment_x000a_Safeguard Title" dataDxfId="169"/>
    <tableColumn id="24" xr3:uid="{99C8FE05-828A-40FD-85FD-2C87B770645C}" name="Risk Treatment_x000a_Safeguard Description" dataDxfId="168"/>
    <tableColumn id="21" xr3:uid="{2CE41BA5-C211-4CD8-B2D9-FD7113BF7546}" name="Our Planned Implementation" dataDxfId="167"/>
    <tableColumn id="7" xr3:uid="{7D97771F-643D-4A38-AA30-304424965877}" name="Risk Treatment Safeguard Maturity Score" dataDxfId="166"/>
    <tableColumn id="15" xr3:uid="{431C70C9-8BFA-471D-973B-56388610DB20}" name="Risk Treatment_x000a_Safeguard Expectancy Score" dataDxfId="165">
      <calculatedColumnFormula>IFERROR(VLOOKUP(10*tblRiskRegister[[#This Row],[Risk Treatment Safeguard Maturity Score]]+tblRiskRegister[[#This Row],[VCDB Index]],tblHITIndexWeightTable[],4,FALSE),"")</calculatedColumnFormula>
    </tableColumn>
    <tableColumn id="16" xr3:uid="{DA3F5455-3CA5-413A-921D-4F95CF3AE179}" name="Risk Treatment Safeguard Impact to Mission" dataDxfId="164">
      <calculatedColumnFormula>VLOOKUP(tblRiskRegister[[#This Row],[Asset Class]],tblImpactIndex[],2,FALSE)</calculatedColumnFormula>
    </tableColumn>
    <tableColumn id="17" xr3:uid="{72F67FF6-FF32-466E-8FC0-2E817BA8E1DA}" name="Risk Treatment Safeguard Impact to Operational Objectives" dataDxfId="163">
      <calculatedColumnFormula>VLOOKUP(tblRiskRegister[[#This Row],[Asset Class]],tblImpactIndex[],3,FALSE)</calculatedColumnFormula>
    </tableColumn>
    <tableColumn id="18" xr3:uid="{4F23337A-896A-4A6D-874A-4F283A3A82C4}" name="Risk Treatment Safeguard Impact to Obligations" dataDxfId="162">
      <calculatedColumnFormula>VLOOKUP(tblRiskRegister[[#This Row],[Asset Class]],tblImpactIndex[],4,FALSE)</calculatedColumnFormula>
    </tableColumn>
    <tableColumn id="28" xr3:uid="{BEA1B5A8-5F21-41A5-9E06-A45B985ABDD4}" name="Risk Treatment Safeguard Risk Score" dataDxfId="161">
      <calculatedColumnFormula>IFERROR(MAX(tblRiskRegister[[#This Row],[Risk Treatment Safeguard Impact to Mission]:[Risk Treatment Safeguard Impact to Obligations]])*tblRiskRegister[[#This Row],[Risk Treatment
Safeguard Expectancy Score]],"")</calculatedColumnFormula>
    </tableColumn>
    <tableColumn id="26" xr3:uid="{A467B8CC-DFA8-47A4-8263-71E3B5DC1411}" name="Reasonable and Acceptable" dataDxfId="160">
      <calculatedColumnFormula>IF(tblRiskRegister[[#This Row],[Risk Score]]&gt;5,IF(tblRiskRegister[[#This Row],[Risk Treatment Safeguard Risk Score]]&lt;6, IF(tblRiskRegister[[#This Row],[Risk Treatment Safeguard Risk Score]]&lt;=tblRiskRegister[[#This Row],[Risk Score]],"Yes","No"),"No"),"Yes")</calculatedColumnFormula>
    </tableColumn>
    <tableColumn id="19" xr3:uid="{D1A8E4B2-E16F-4C57-BACC-1E03E58E87DB}" name="Risk Treatment Safeguard Cost" dataDxfId="159" dataCellStyle="Currency"/>
    <tableColumn id="8" xr3:uid="{DBF9768F-8425-45A9-8571-8929A98A3A77}" name="Implementation Quarter" dataDxfId="158" dataCellStyle="Currency"/>
    <tableColumn id="23" xr3:uid="{355A6E03-6256-47E5-8490-8A680FEFDAC5}" name="Implementation Year" dataDxfId="157"/>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AFC2AF6-45F5-4CC0-BB14-475E496753AA}" name="tblImpactDefinitions31814" displayName="tblImpactDefinitions31814" ref="F3:J7" totalsRowShown="0" headerRowDxfId="86" dataDxfId="85">
  <autoFilter ref="F3:J7" xr:uid="{4FF567A8-2E76-4BA4-915D-68C40ECE9DF1}"/>
  <tableColumns count="5">
    <tableColumn id="1" xr3:uid="{AC0AA407-75D5-43EF-9E0D-5FD117EDCB3D}" name="Impact Scores" dataDxfId="84"/>
    <tableColumn id="2" xr3:uid="{C6B5355F-80A4-4CD5-8AB1-465756A0B947}" name="Mission" dataDxfId="83"/>
    <tableColumn id="3" xr3:uid="{43DB057B-AB66-4464-A9F5-689EE1731D60}" name="Operational Objectives" dataDxfId="82"/>
    <tableColumn id="4" xr3:uid="{1AD9C249-99AA-4E38-B6A0-01C68FAACD49}" name="Financial Objectives" dataDxfId="81"/>
    <tableColumn id="5" xr3:uid="{0BB84325-6527-406B-88FD-62AD247371DC}" name="Obligations" dataDxfId="80"/>
  </tableColumns>
  <tableStyleInfo name="TableStyleMedium2"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48999-10B6-4E11-B044-B277753047A0}" name="tblMaturityScores" displayName="tblMaturityScores" ref="B6:C11" totalsRowShown="0" headerRowDxfId="79" dataDxfId="78">
  <autoFilter ref="B6:C11" xr:uid="{7B87A968-A3AD-4C4F-82A7-F496D86A46DA}"/>
  <tableColumns count="2">
    <tableColumn id="1" xr3:uid="{DD79982C-A9BA-4C29-9339-25D7077BA225}" name="Maturity Scores" dataDxfId="77"/>
    <tableColumn id="2" xr3:uid="{B95BD2FA-F1A4-4A6B-8B12-4B5DE8ABB09E}" name="Definition" dataDxfId="76"/>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E67D7F-408D-4247-9729-AF2715BBF482}" name="Table5" displayName="Table5" ref="B17:C20" totalsRowShown="0" headerRowDxfId="75" dataDxfId="74">
  <autoFilter ref="B17:C20" xr:uid="{9543C490-5DBE-41CA-B48C-0C5A61F445AA}"/>
  <tableColumns count="2">
    <tableColumn id="1" xr3:uid="{AB1F23FC-EFCD-4F47-981B-1A533DC44E01}" name="Expectancy Scores" dataDxfId="73"/>
    <tableColumn id="2" xr3:uid="{4239A226-FA5E-49A1-86BA-6C89EC06FDE3}" name="Expectancy Definition" dataDxfId="72"/>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5C1274-FDB1-4BEB-98FC-B08D4109F889}" name="Table6" displayName="Table6" ref="B26:C27" totalsRowShown="0" headerRowDxfId="71" dataDxfId="70">
  <autoFilter ref="B26:C27" xr:uid="{1F2A4CDB-E353-417D-87C3-37E36339B4E8}"/>
  <tableColumns count="2">
    <tableColumn id="1" xr3:uid="{3DC79FAB-AE52-4C8A-96B3-D0F1100C46B0}" name="Acceptable Risk Score" dataDxfId="69"/>
    <tableColumn id="2" xr3:uid="{2716CAD0-D544-4052-A3D6-A853AF68014F}" name="Risk Acceptance Criteria" dataDxfId="68"/>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7DE92C-2FC9-4A9B-8B56-9BBAC9A4D18C}" name="tblVCDBIndex" displayName="tblVCDBIndex" ref="B34:E41" totalsRowShown="0" headerRowDxfId="67" dataDxfId="66">
  <autoFilter ref="B34:E41" xr:uid="{3D5FFE15-1BB4-4EF0-B09F-4B164D6A82A7}"/>
  <tableColumns count="4">
    <tableColumn id="1" xr3:uid="{50E1FA10-603D-42D6-8A53-9DE10B2F836D}" name="Asset Class" dataDxfId="65"/>
    <tableColumn id="2" xr3:uid="{A5ADADF0-F404-4FB8-B93B-A9D20A6C8892}" name="Sum of Threat Count / Industry" dataDxfId="64"/>
    <tableColumn id="3" xr3:uid="{E69ACDA9-ACAA-4EEA-9C81-B28906831D41}" name="Percentage" dataDxfId="63" dataCellStyle="Percent">
      <calculatedColumnFormula>tblVCDBIndex[[#This Row],[Sum of Threat Count / Industry]]/$C$33</calculatedColumnFormula>
    </tableColumn>
    <tableColumn id="4" xr3:uid="{287EDDA7-0E69-4366-BA87-DCC60821B9A2}" name="Index" dataDxfId="62">
      <calculatedColumnFormula>IF(tblVCDBIndex[[#This Row],[Percentage]]&gt;=0.5,3,IF(tblVCDBIndex[[#This Row],[Percentage]]&gt;=0.1,2,1))</calculatedColumnFormula>
    </tableColumn>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87B67-BF2C-4E30-9E2B-2AF3B21AC2F9}" name="tblHITIndexWeightTable" displayName="tblHITIndexWeightTable" ref="B47:E72" totalsRowShown="0" headerRowDxfId="61" dataDxfId="60">
  <autoFilter ref="B47:E72" xr:uid="{045CA64F-00D5-4A25-A420-B3A85B51667D}"/>
  <sortState ref="C48:E56">
    <sortCondition descending="1" ref="C47:C56"/>
  </sortState>
  <tableColumns count="4">
    <tableColumn id="4" xr3:uid="{42C0E347-189B-4749-AA0C-F2B9D0D43957}" name="VCDB Index Lookup" dataDxfId="59"/>
    <tableColumn id="1" xr3:uid="{54D34524-94CD-466A-B10E-F45894C20F46}" name="Maturity" dataDxfId="58"/>
    <tableColumn id="2" xr3:uid="{6FFDD197-6A58-4063-AFA5-225A42374912}" name="VCDB Index" dataDxfId="57"/>
    <tableColumn id="3" xr3:uid="{2AC0ACC8-58E6-4D9E-9B01-B192A02430C5}" name="Expectancy" dataDxfId="56"/>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8921055-529F-47DA-ADEE-CA05412E1DA2}" name="tblMaturityScores1213" displayName="tblMaturityScores1213" ref="N3:O8" totalsRowShown="0" headerRowDxfId="55" dataDxfId="54" tableBorderDxfId="53">
  <autoFilter ref="N3:O8" xr:uid="{ECF99691-39B8-4848-9BB4-E26E83115FB5}"/>
  <tableColumns count="2">
    <tableColumn id="1" xr3:uid="{7465C038-0C59-4687-824A-BF06BFC28896}" name="Maturity Scores" dataDxfId="52"/>
    <tableColumn id="2" xr3:uid="{E75B713B-3569-4B41-B007-A199DBB391FF}" name="Definition" dataDxfId="51"/>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5266FD-B3AD-4C83-878C-5AACCAF1D035}" name="tblMaturityScores121323" displayName="tblMaturityScores121323" ref="AB2:AC7" totalsRowShown="0" headerRowDxfId="50" dataDxfId="49" tableBorderDxfId="48">
  <autoFilter ref="AB2:AC7" xr:uid="{93B096CB-86C1-4018-AE0F-75339CB7E9CD}"/>
  <tableColumns count="2">
    <tableColumn id="1" xr3:uid="{03B9ABC3-01C5-4647-8551-89F7A6B8FC00}" name="Maturity Scores" dataDxfId="47"/>
    <tableColumn id="2" xr3:uid="{C7C52DA5-B9BF-4EB2-9B1F-01FA001C7978}" name="Definition" dataDxfId="46"/>
  </tableColumns>
  <tableStyleInfo name="TableStyleMedium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BDCE72F-C758-4241-B313-4C976443F0B8}" name="tblRiskRegister19" displayName="tblRiskRegister19" ref="B33:AA76" totalsRowShown="0" headerRowDxfId="45" dataDxfId="44">
  <autoFilter ref="B33:AA76" xr:uid="{9DD1637E-6A24-4152-BF1D-6C69C54474D3}"/>
  <sortState ref="B34:L76">
    <sortCondition ref="B33:B76"/>
  </sortState>
  <tableColumns count="26">
    <tableColumn id="1" xr3:uid="{74C4E157-BD9B-4923-A269-686774EA83E1}" name="CIS Safeguard #" dataDxfId="43"/>
    <tableColumn id="2" xr3:uid="{D2609824-9C91-4304-B3D8-546C6007D266}" name="CIS Safeguard Title" dataDxfId="42"/>
    <tableColumn id="4" xr3:uid="{607BB1B8-2A22-49B4-B38B-98A1892FC80D}" name="Asset Class" dataDxfId="41"/>
    <tableColumn id="3" xr3:uid="{8DD4F1FF-8064-40F8-AA17-4B3A959C556C}" name="Safeguard Maturity Score" dataDxfId="40"/>
    <tableColumn id="27" xr3:uid="{ECBEC446-396A-48F7-B6C0-B119FAFB9598}" name="VCDB Index" dataDxfId="39">
      <calculatedColumnFormula>IFERROR(VLOOKUP(tblRiskRegister19[[#This Row],[Asset Class]],tblVCDBIndex[],4,FALSE),"")</calculatedColumnFormula>
    </tableColumn>
    <tableColumn id="9" xr3:uid="{3E7C857A-8E42-4340-8F4A-73F85FAC9A82}" name="Expectancy Score" dataDxfId="38">
      <calculatedColumnFormula>IFERROR(VLOOKUP(10*tblRiskRegister19[[#This Row],[Safeguard Maturity Score]]+tblRiskRegister19[[#This Row],[VCDB Index]],tblHITIndexWeightTable[],4,FALSE),"")</calculatedColumnFormula>
    </tableColumn>
    <tableColumn id="10" xr3:uid="{E784DA19-6C44-4903-9731-5D064D9B6E63}" name="Impact to Mission" dataDxfId="37">
      <calculatedColumnFormula>VLOOKUP(tblRiskRegister19[[#This Row],[Asset Class]],tblImpactIndex21[],2,FALSE)</calculatedColumnFormula>
    </tableColumn>
    <tableColumn id="11" xr3:uid="{4CE45628-17CA-4E37-B432-1B7B8D5B8B70}" name="Impact to Operational Objectives" dataDxfId="36">
      <calculatedColumnFormula>VLOOKUP(tblRiskRegister19[[#This Row],[Asset Class]],tblImpactIndex21[],3,FALSE)</calculatedColumnFormula>
    </tableColumn>
    <tableColumn id="12" xr3:uid="{2C21FA0E-EB29-4ABB-A57C-DD1AE16FA735}" name="Impact to Obligations" dataDxfId="35">
      <calculatedColumnFormula>VLOOKUP(tblRiskRegister19[[#This Row],[Asset Class]],tblImpactIndex21[],4,FALSE)</calculatedColumnFormula>
    </tableColumn>
    <tableColumn id="13" xr3:uid="{937FCDC5-DA78-463D-8CA6-831279B505CD}" name="Risk Score" dataDxfId="34">
      <calculatedColumnFormula>IFERROR(MAX(tblRiskRegister19[[#This Row],[Impact to Mission]:[Impact to Obligations]])*tblRiskRegister19[[#This Row],[Expectancy Score]],"")</calculatedColumnFormula>
    </tableColumn>
    <tableColumn id="14" xr3:uid="{2359A05F-0A41-41A9-A5DE-0071B8F7B7B1}" name="Risk Level" dataDxfId="33">
      <calculatedColumnFormula>tblRiskRegister19[[#This Row],[Risk Score]]</calculatedColumnFormula>
    </tableColumn>
    <tableColumn id="25" xr3:uid="{DB65F03C-CC66-4EE5-BCB5-57F80449B00E}" name="Risk Treatment Option" dataDxfId="32"/>
    <tableColumn id="5" xr3:uid="{BD5CF8E5-8B3D-4BF2-8A92-15F49B2477F4}" name="Risk Treatment Safeguard" dataDxfId="31"/>
    <tableColumn id="6" xr3:uid="{4D8E12F6-6796-41A4-B07F-E5BFECE1BF63}" name="Risk Treatment_x000a_Safeguard Title" dataDxfId="30"/>
    <tableColumn id="24" xr3:uid="{3EF673DE-3687-4AF3-A136-2D84E71E1351}" name="Risk Treatment_x000a_Safeguard Description" dataDxfId="29"/>
    <tableColumn id="21" xr3:uid="{1122A1D6-1F7E-42DE-AD38-1585F332F103}" name="Our Planned Implementation" dataDxfId="28"/>
    <tableColumn id="7" xr3:uid="{F60BD290-52E4-4EFB-BA1B-EF56B181968A}" name="Risk Treatment Safeguard Maturity Score" dataDxfId="27"/>
    <tableColumn id="15" xr3:uid="{B174AA13-2F8E-4427-A782-F8377B8DB302}" name="Risk Treatment_x000a_Safeguard Expectancy Score" dataDxfId="26">
      <calculatedColumnFormula>IFERROR(VLOOKUP(10*tblRiskRegister19[[#This Row],[Risk Treatment Safeguard Maturity Score]]+tblRiskRegister19[[#This Row],[VCDB Index]],tblHITIndexWeightTable[],4,FALSE),"")</calculatedColumnFormula>
    </tableColumn>
    <tableColumn id="16" xr3:uid="{6246BF7F-235B-4E14-B20C-E8E153DE4C93}" name="Risk Treatment Safeguard Impact to Mission" dataDxfId="25">
      <calculatedColumnFormula>VLOOKUP(tblRiskRegister19[[#This Row],[Asset Class]],tblImpactIndex21[],2,FALSE)</calculatedColumnFormula>
    </tableColumn>
    <tableColumn id="17" xr3:uid="{6E9506C0-CA69-4CA9-B032-4E5D343E9B95}" name="Risk Treatment Safeguard Impact to Operational Objectives" dataDxfId="24">
      <calculatedColumnFormula>VLOOKUP(tblRiskRegister19[[#This Row],[Asset Class]],tblImpactIndex21[],3,FALSE)</calculatedColumnFormula>
    </tableColumn>
    <tableColumn id="18" xr3:uid="{61A4DF47-B245-475E-979B-2A2EEF92DC1B}" name="Risk Treatment Safeguard Impact to Obligations" dataDxfId="23">
      <calculatedColumnFormula>VLOOKUP(tblRiskRegister19[[#This Row],[Asset Class]],tblImpactIndex21[],4,FALSE)</calculatedColumnFormula>
    </tableColumn>
    <tableColumn id="28" xr3:uid="{A08FEA2C-B42E-4576-B14D-EEFBE729F43C}" name="Risk Treatment Safeguard Risk Score" dataDxfId="22">
      <calculatedColumnFormula>IFERROR(MAX(tblRiskRegister19[[#This Row],[Risk Treatment Safeguard Impact to Mission]:[Risk Treatment Safeguard Impact to Obligations]])*tblRiskRegister19[[#This Row],[Risk Treatment
Safeguard Expectancy Score]],"")</calculatedColumnFormula>
    </tableColumn>
    <tableColumn id="26" xr3:uid="{5C5EBC7E-D810-41C9-9CE6-D812B53084E6}" name="Reasonable and Acceptable" dataDxfId="21">
      <calculatedColumnFormula>IF(tblRiskRegister19[[#This Row],[Risk Score]]&gt;5,IF(tblRiskRegister19[[#This Row],[Risk Treatment Safeguard Risk Score]]&lt;6, IF(tblRiskRegister19[[#This Row],[Risk Treatment Safeguard Risk Score]]&lt;=tblRiskRegister19[[#This Row],[Risk Score]],"Yes","No"),"No"),"Yes")</calculatedColumnFormula>
    </tableColumn>
    <tableColumn id="19" xr3:uid="{C342AE9F-E110-452D-8BC0-895E3BFC0895}" name="Risk Treatment Safeguard Cost" dataDxfId="20" dataCellStyle="Currency"/>
    <tableColumn id="8" xr3:uid="{D8E87883-49AE-44EF-A597-AA7E1703530F}" name="Implementation Quarter" dataDxfId="19" dataCellStyle="Currency"/>
    <tableColumn id="23" xr3:uid="{ED4B13F6-5B4F-449F-950C-6EB2EB0096A9}" name="Implementation Year" dataDxfId="18"/>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F266234-637D-412F-B642-8C44D2ECCAD6}" name="tblCostImpacts20" displayName="tblCostImpacts20" ref="AC33:AE43" totalsRowShown="0" headerRowDxfId="17" dataDxfId="16">
  <autoFilter ref="AC33:AE43" xr:uid="{8DF8E5E0-4444-493D-923E-B023F5A18943}"/>
  <tableColumns count="3">
    <tableColumn id="1" xr3:uid="{AD76A7A5-4C52-41D8-8700-1ABA5B3F2C50}" name="Impact to Financial Objectives" dataDxfId="15" dataCellStyle="Currency">
      <calculatedColumnFormula>SUMIF(tblRiskRegister19[[#All],[Implementation Year]],"="&amp;tblCostImpacts20[[#This Row],[Year]],tblRiskRegister19[[#All],[Risk Treatment Safeguard Cost]])</calculatedColumnFormula>
    </tableColumn>
    <tableColumn id="2" xr3:uid="{3A0F8906-A1F2-42C1-B54A-5673D09EBFC3}" name="Year" dataDxfId="14"/>
    <tableColumn id="3" xr3:uid="{D13075C5-0431-4AD6-9A8F-3F6620F14966}" name="Reasonable?" dataDxfId="13">
      <calculatedColumnFormula>IF(tblCostImpacts20[[#This Row],[Impact to Financial Objectives]]&lt;=$E$12,"Yes","No")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3F50E9-18C1-45C0-A9B7-1AA8CCB41E72}" name="tblCostImpacts" displayName="tblCostImpacts" ref="AC33:AE43" totalsRowShown="0" headerRowDxfId="156" dataDxfId="155">
  <autoFilter ref="AC33:AE43" xr:uid="{8DF8E5E0-4444-493D-923E-B023F5A18943}"/>
  <tableColumns count="3">
    <tableColumn id="1" xr3:uid="{A2907F84-0D10-4D9F-B699-0766BF496195}" name="Impact to Financial Objectives" dataDxfId="154" dataCellStyle="Currency">
      <calculatedColumnFormula>SUMIF(tblRiskRegister[[#All],[Implementation Year]],"="&amp;tblCostImpacts[[#This Row],[Year]],tblRiskRegister[[#All],[Risk Treatment Safeguard Cost]])</calculatedColumnFormula>
    </tableColumn>
    <tableColumn id="2" xr3:uid="{3297C69F-6EB7-4EAF-84B5-4CB9DA2A1C44}" name="Year" dataDxfId="153"/>
    <tableColumn id="3" xr3:uid="{D36FAF47-6B97-4180-8BC5-B18855A84F77}" name="Reasonable?" dataDxfId="152">
      <calculatedColumnFormula>IF(tblCostImpacts[[#This Row],[Impact to Financial Objectives]]&lt;=$E$12,"Yes","No")</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38887CA-B83D-4606-87B3-6C36C463F153}" name="tblImpactIndex21" displayName="tblImpactIndex21" ref="B20:E26" totalsRowShown="0" headerRowDxfId="12" dataDxfId="11">
  <autoFilter ref="B20:E26" xr:uid="{C77C6CEC-65BA-4FC6-A575-D28C134F13C6}">
    <filterColumn colId="0" hiddenButton="1"/>
    <filterColumn colId="1" hiddenButton="1"/>
    <filterColumn colId="2" hiddenButton="1"/>
    <filterColumn colId="3" hiddenButton="1"/>
  </autoFilter>
  <tableColumns count="4">
    <tableColumn id="1" xr3:uid="{4AAC3893-8F79-4E76-9116-95CAD7BCB3A2}" name="Asset Class" dataDxfId="10"/>
    <tableColumn id="2" xr3:uid="{53584705-989B-4D54-AF12-BD9221CA65EC}" name="Mission Impact" dataDxfId="9"/>
    <tableColumn id="3" xr3:uid="{43EBAA1B-36D7-4600-8588-F69BA0BF924A}" name="Operational Objectives Impact" dataDxfId="8"/>
    <tableColumn id="4" xr3:uid="{2F517F05-6921-498D-BA08-66E627ACD1F7}" name="Obligations Impact" dataDxfId="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EE73B5F-D54C-4693-AF8C-D309915EEA5C}" name="tblImpactDefinitions322" displayName="tblImpactDefinitions322" ref="B10:F14" totalsRowShown="0" headerRowDxfId="6" dataDxfId="5">
  <autoFilter ref="B10:F14" xr:uid="{7EF762F8-1DFB-40FB-9D41-F321205BEB02}">
    <filterColumn colId="0" hiddenButton="1"/>
    <filterColumn colId="1" hiddenButton="1"/>
    <filterColumn colId="2" hiddenButton="1"/>
    <filterColumn colId="3" hiddenButton="1"/>
    <filterColumn colId="4" hiddenButton="1"/>
  </autoFilter>
  <tableColumns count="5">
    <tableColumn id="1" xr3:uid="{40ABF404-208C-4715-B5CB-9E1C3C4058FF}" name="Impact Scores" dataDxfId="4"/>
    <tableColumn id="2" xr3:uid="{9A485D71-C7E7-4FEA-A17C-2D85F430F34A}" name="Mission" dataDxfId="3"/>
    <tableColumn id="3" xr3:uid="{9BA32F95-09E6-4B39-BCC0-427687C455AF}" name="Operational Objectives" dataDxfId="2"/>
    <tableColumn id="4" xr3:uid="{A2F4BB74-5FBC-409E-AE08-013C9533A31D}" name="Financial Objectives" dataDxfId="1"/>
    <tableColumn id="5" xr3:uid="{FAC7E81B-C81F-4604-897E-1550A1A08C41}" name="Obligations" dataDxfId="0"/>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B001FF-6311-449C-B0A4-F54508CB0B2B}" name="tblImpactIndex" displayName="tblImpactIndex" ref="B20:E26" totalsRowShown="0" headerRowDxfId="151" dataDxfId="150">
  <autoFilter ref="B20:E26" xr:uid="{C77C6CEC-65BA-4FC6-A575-D28C134F13C6}">
    <filterColumn colId="0" hiddenButton="1"/>
    <filterColumn colId="1" hiddenButton="1"/>
    <filterColumn colId="2" hiddenButton="1"/>
    <filterColumn colId="3" hiddenButton="1"/>
  </autoFilter>
  <tableColumns count="4">
    <tableColumn id="1" xr3:uid="{DAA8D9ED-5480-4CC8-B9A9-CF7AF27DC75F}" name="Asset Class" dataDxfId="149"/>
    <tableColumn id="2" xr3:uid="{42FA3007-FFF4-4F52-8B9A-65433F9553C7}" name="Mission Impact" dataDxfId="148"/>
    <tableColumn id="3" xr3:uid="{13B966A7-4EF1-4F5C-8B09-8099F33926CC}" name="Operational Objectives Impact" dataDxfId="147"/>
    <tableColumn id="4" xr3:uid="{DCC8E549-5EE7-4F9C-9E96-5727A0D86AEF}" name="Obligations Impact" dataDxfId="14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953B34-5F82-476F-A9CD-8A3B0D5951DC}" name="tblImpactDefinitions3" displayName="tblImpactDefinitions3" ref="B10:F14" totalsRowShown="0" headerRowDxfId="145" dataDxfId="144">
  <autoFilter ref="B10:F14" xr:uid="{7EF762F8-1DFB-40FB-9D41-F321205BEB02}">
    <filterColumn colId="0" hiddenButton="1"/>
    <filterColumn colId="1" hiddenButton="1"/>
    <filterColumn colId="2" hiddenButton="1"/>
    <filterColumn colId="3" hiddenButton="1"/>
    <filterColumn colId="4" hiddenButton="1"/>
  </autoFilter>
  <tableColumns count="5">
    <tableColumn id="1" xr3:uid="{52EAF4CA-2B94-47D2-BCA0-1B4FB3AFF161}" name="Impact Scores" dataDxfId="143"/>
    <tableColumn id="2" xr3:uid="{09C350C0-CEF3-4BB2-BE4C-1468DCC278AE}" name="Mission" dataDxfId="142"/>
    <tableColumn id="3" xr3:uid="{E2850D79-AA37-46C6-9677-BE2435265F4D}" name="Operational Objectives" dataDxfId="141"/>
    <tableColumn id="4" xr3:uid="{28ED1B92-9B8C-4D49-A6B6-17F3B10419FF}" name="Financial Objectives" dataDxfId="140"/>
    <tableColumn id="5" xr3:uid="{6AD7BE8A-D970-4A96-88AA-4DE82C9AECC0}" name="Obligations" dataDxfId="139"/>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9971061-7220-4DAC-8B1D-8D6F28AAD72F}" name="tblRiskRegister15" displayName="tblRiskRegister15" ref="B33:AA89" totalsRowShown="0" headerRowDxfId="138" dataDxfId="137">
  <autoFilter ref="B33:AA89" xr:uid="{9DD1637E-6A24-4152-BF1D-6C69C54474D3}"/>
  <sortState ref="B34:L76">
    <sortCondition ref="B33:B76"/>
  </sortState>
  <tableColumns count="26">
    <tableColumn id="1" xr3:uid="{246BA068-BAF2-4355-A976-D6EB0D5BC613}" name="CIS Safeguard #" dataDxfId="136"/>
    <tableColumn id="2" xr3:uid="{E6230B82-51F8-44D6-8C7E-FD017256F1FE}" name="CIS Safeguard Title" dataDxfId="135"/>
    <tableColumn id="4" xr3:uid="{4A71CC5E-AF8D-40D3-B275-407DD9BCEE3E}" name="Asset Class" dataDxfId="134"/>
    <tableColumn id="3" xr3:uid="{783881EF-B815-4882-9C81-C1BF39FE3043}" name="Safeguard Maturity Score" dataDxfId="133"/>
    <tableColumn id="27" xr3:uid="{73A30BFA-6302-4EC4-B194-1BEC3C351F8C}" name="VCDB Index" dataDxfId="132">
      <calculatedColumnFormula>IFERROR(VLOOKUP(tblRiskRegister15[[#This Row],[Asset Class]],tblVCDBIndex[],4,FALSE),"")</calculatedColumnFormula>
    </tableColumn>
    <tableColumn id="9" xr3:uid="{9EC765C2-3602-4A61-B606-D26BE034F476}" name="Expectancy Score" dataDxfId="131">
      <calculatedColumnFormula>IFERROR(VLOOKUP(10*tblRiskRegister15[[#This Row],[Safeguard Maturity Score]]+tblRiskRegister15[[#This Row],[VCDB Index]],tblHITIndexWeightTable[],4,FALSE),"")</calculatedColumnFormula>
    </tableColumn>
    <tableColumn id="10" xr3:uid="{1F75B6A3-4E2E-44DC-B9A3-A615F2C3E383}" name="Impact to Mission" dataDxfId="130">
      <calculatedColumnFormula>VLOOKUP(tblRiskRegister15[[#This Row],[Asset Class]],tblImpactIndex17[],2,FALSE)</calculatedColumnFormula>
    </tableColumn>
    <tableColumn id="11" xr3:uid="{6ED84288-803D-4F0A-A071-19D6D37827C9}" name="Impact to Operational Objectives" dataDxfId="129">
      <calculatedColumnFormula>VLOOKUP(tblRiskRegister15[[#This Row],[Asset Class]],tblImpactIndex17[],3,FALSE)</calculatedColumnFormula>
    </tableColumn>
    <tableColumn id="12" xr3:uid="{379BBFE4-6831-4439-A434-CBECE2A4B9C1}" name="Impact to Obligations" dataDxfId="128">
      <calculatedColumnFormula>VLOOKUP(tblRiskRegister15[[#This Row],[Asset Class]],tblImpactIndex17[],4,FALSE)</calculatedColumnFormula>
    </tableColumn>
    <tableColumn id="13" xr3:uid="{A44BC147-C6B5-48EB-885A-E8382D6CD9EA}" name="Risk Score" dataDxfId="127">
      <calculatedColumnFormula>IFERROR(MAX(tblRiskRegister15[[#This Row],[Impact to Mission]:[Impact to Obligations]])*tblRiskRegister15[[#This Row],[Expectancy Score]],"")</calculatedColumnFormula>
    </tableColumn>
    <tableColumn id="14" xr3:uid="{AAF8D8CE-2AAA-4B92-BFBF-8F21EA7DE7F8}" name="Risk Level" dataDxfId="126">
      <calculatedColumnFormula>tblRiskRegister15[[#This Row],[Risk Score]]</calculatedColumnFormula>
    </tableColumn>
    <tableColumn id="25" xr3:uid="{A485CCFC-D4AE-43D5-9D96-2332B61E4867}" name="Risk Treatment Option" dataDxfId="125"/>
    <tableColumn id="5" xr3:uid="{9690D8CE-8545-4AE6-A342-95AD8EAEB056}" name="Risk Treatment Safeguard" dataDxfId="124"/>
    <tableColumn id="6" xr3:uid="{EDB72571-6E7E-462D-BD06-3FD4EE0374E5}" name="Risk Treatment_x000a_Safeguard Title" dataDxfId="123"/>
    <tableColumn id="24" xr3:uid="{613E8F85-3071-4ED0-AC15-05AEC007EFD8}" name="Risk Treatment_x000a_Safeguard Description" dataDxfId="122"/>
    <tableColumn id="21" xr3:uid="{6EB716D1-3284-4911-A6BA-37CEE048F3D4}" name="Our Planned Implementation" dataDxfId="121"/>
    <tableColumn id="7" xr3:uid="{AC0738F7-0BCF-4727-8814-E10CDEB7C95D}" name="Risk Treatment Safeguard Maturity Score" dataDxfId="120"/>
    <tableColumn id="15" xr3:uid="{02B5B1B6-EC70-47A4-A56A-A187AD97974C}" name="Risk Treatment_x000a_Safeguard Expectancy Score" dataDxfId="119">
      <calculatedColumnFormula>IFERROR(VLOOKUP(10*tblRiskRegister15[[#This Row],[Risk Treatment Safeguard Maturity Score]]+tblRiskRegister15[[#This Row],[VCDB Index]],tblHITIndexWeightTable[],4,FALSE),"")</calculatedColumnFormula>
    </tableColumn>
    <tableColumn id="16" xr3:uid="{5E8A539D-F8D5-46BC-BE5C-E4FC4289D137}" name="Risk Treatment Safeguard Impact to Mission" dataDxfId="118">
      <calculatedColumnFormula>VLOOKUP(tblRiskRegister15[[#This Row],[Asset Class]],tblImpactIndex17[],2,FALSE)</calculatedColumnFormula>
    </tableColumn>
    <tableColumn id="17" xr3:uid="{116A6520-B949-4A4F-9F26-090340226C51}" name="Risk Treatment Safeguard Impact to Operational Objectives" dataDxfId="117">
      <calculatedColumnFormula>VLOOKUP(tblRiskRegister15[[#This Row],[Asset Class]],tblImpactIndex17[],3,FALSE)</calculatedColumnFormula>
    </tableColumn>
    <tableColumn id="18" xr3:uid="{CB3CD96F-19BB-46E5-939E-FBDC16B1D9DD}" name="Risk Treatment Safeguard Impact to Obligations" dataDxfId="116">
      <calculatedColumnFormula>VLOOKUP(tblRiskRegister15[[#This Row],[Asset Class]],tblImpactIndex17[],4,FALSE)</calculatedColumnFormula>
    </tableColumn>
    <tableColumn id="28" xr3:uid="{EB68F924-4B2C-4158-B767-FCD6EE3A6A61}" name="Risk Treatment Safeguard Risk Score" dataDxfId="115">
      <calculatedColumnFormula>IFERROR(MAX(tblRiskRegister15[[#This Row],[Risk Treatment Safeguard Impact to Mission]:[Risk Treatment Safeguard Impact to Obligations]])*tblRiskRegister15[[#This Row],[Risk Treatment
Safeguard Expectancy Score]],"")</calculatedColumnFormula>
    </tableColumn>
    <tableColumn id="26" xr3:uid="{8A804315-B707-4293-AC5F-E9B4C1AD316E}" name="Reasonable and Acceptable" dataDxfId="114">
      <calculatedColumnFormula>IF(tblRiskRegister15[[#This Row],[Risk Score]]&gt;5,IF(tblRiskRegister15[[#This Row],[Risk Treatment Safeguard Risk Score]]&lt;6, IF(tblRiskRegister15[[#This Row],[Risk Treatment Safeguard Risk Score]]&lt;=tblRiskRegister15[[#This Row],[Risk Score]],"Yes","No"),"No"),"Yes")</calculatedColumnFormula>
    </tableColumn>
    <tableColumn id="19" xr3:uid="{71E866AE-76CD-4F8D-AD46-13A4F0E2C449}" name="Risk Treatment Safeguard Cost" dataDxfId="113" dataCellStyle="Currency"/>
    <tableColumn id="8" xr3:uid="{4C916945-1F66-41F5-90B9-A331D10F53DD}" name="Implementation Quarter" dataDxfId="112" dataCellStyle="Currency"/>
    <tableColumn id="23" xr3:uid="{76FE8402-B5DC-44BF-93CC-F1E300AEC0D7}" name="Implementation Year" dataDxfId="11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9F8BA70-BCD7-43EF-A8DB-7E69C5C63CF4}" name="tblCostImpacts16" displayName="tblCostImpacts16" ref="AC33:AE43" totalsRowShown="0" headerRowDxfId="110" dataDxfId="109">
  <autoFilter ref="AC33:AE43" xr:uid="{8DF8E5E0-4444-493D-923E-B023F5A18943}"/>
  <tableColumns count="3">
    <tableColumn id="1" xr3:uid="{61DA70D4-35B9-4823-A15E-96CFE7E6EB86}" name="Impact to Financial Objectives" dataDxfId="108" dataCellStyle="Currency">
      <calculatedColumnFormula>SUMIF(tblRiskRegister15[[#All],[Implementation Year]],"="&amp;tblCostImpacts16[[#This Row],[Year]],tblRiskRegister15[[#All],[Risk Treatment Safeguard Cost]])</calculatedColumnFormula>
    </tableColumn>
    <tableColumn id="2" xr3:uid="{6E7AE7EE-61DB-4687-B418-A7D1C6404382}" name="Year" dataDxfId="107"/>
    <tableColumn id="3" xr3:uid="{394CB125-DB09-4668-AF9C-385E2892EF71}" name="Reasonable?" dataDxfId="106">
      <calculatedColumnFormula>IF(tblCostImpacts16[[#This Row],[Impact to Financial Objectives]]&lt;=$E$12,"Yes","No")</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CFBC5D5-48E7-4FF1-A595-22C272F9FEFB}" name="tblImpactIndex17" displayName="tblImpactIndex17" ref="B20:E26" totalsRowShown="0" headerRowDxfId="105" dataDxfId="104">
  <autoFilter ref="B20:E26" xr:uid="{C77C6CEC-65BA-4FC6-A575-D28C134F13C6}">
    <filterColumn colId="0" hiddenButton="1"/>
    <filterColumn colId="1" hiddenButton="1"/>
    <filterColumn colId="2" hiddenButton="1"/>
    <filterColumn colId="3" hiddenButton="1"/>
  </autoFilter>
  <tableColumns count="4">
    <tableColumn id="1" xr3:uid="{2E0C10C5-F9C2-4898-84BA-811509A07501}" name="Asset Class" dataDxfId="103"/>
    <tableColumn id="2" xr3:uid="{B9D5924A-63C9-4166-8FFD-E745CB34569F}" name="Mission Impact" dataDxfId="102"/>
    <tableColumn id="3" xr3:uid="{67E2C6DB-DFC5-4B91-857E-0693256322AE}" name="Operational Objectives Impact" dataDxfId="101"/>
    <tableColumn id="4" xr3:uid="{E35E6118-B140-4FD2-87BD-36BF91CC6277}" name="Obligations Impact" dataDxfId="1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B0B95DF-3EA0-4085-8A30-4AE1117224B8}" name="tblImpactDefinitions318" displayName="tblImpactDefinitions318" ref="B10:F14" totalsRowShown="0" headerRowDxfId="99" dataDxfId="98">
  <autoFilter ref="B10:F14" xr:uid="{7EF762F8-1DFB-40FB-9D41-F321205BEB02}">
    <filterColumn colId="0" hiddenButton="1"/>
    <filterColumn colId="1" hiddenButton="1"/>
    <filterColumn colId="2" hiddenButton="1"/>
    <filterColumn colId="3" hiddenButton="1"/>
    <filterColumn colId="4" hiddenButton="1"/>
  </autoFilter>
  <tableColumns count="5">
    <tableColumn id="1" xr3:uid="{06E5978B-B1B3-4144-B8F7-BA3FCDDEEC5F}" name="Impact Scores" dataDxfId="97"/>
    <tableColumn id="2" xr3:uid="{E7E04036-E615-4228-BBF3-A5DC22612528}" name="Mission" dataDxfId="96"/>
    <tableColumn id="3" xr3:uid="{816316AD-8D96-4D4D-A6F7-22510CEE134D}" name="Operational Objectives" dataDxfId="95"/>
    <tableColumn id="4" xr3:uid="{23B5AAF0-B197-4003-AB33-DB6E975C65BD}" name="Financial Objectives" dataDxfId="94"/>
    <tableColumn id="5" xr3:uid="{42662EEB-0C8B-4A7D-B8F7-7A1CFED9942D}" name="Obligations" dataDxfId="93"/>
  </tableColumns>
  <tableStyleInfo name="TableStyleMedium2"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96C3C99-52B2-46D2-BD07-2C6F50D377F6}" name="tblImpactIndex11" displayName="tblImpactIndex11" ref="F10:I16" totalsRowShown="0" headerRowDxfId="92" dataDxfId="91">
  <autoFilter ref="F10:I16" xr:uid="{869140E4-D417-47A2-A5F7-2BF7E896B6B1}"/>
  <tableColumns count="4">
    <tableColumn id="1" xr3:uid="{8AFC6B6B-41AD-44A2-9582-10233B667EC3}" name="Asset Class" dataDxfId="90"/>
    <tableColumn id="2" xr3:uid="{EA25300E-13A7-4048-A2CC-9796E006B156}" name="Mission Impact" dataDxfId="89"/>
    <tableColumn id="3" xr3:uid="{32A9301E-DB4E-46A3-B80C-64103CED166D}" name="Operational Objectives Impact" dataDxfId="88"/>
    <tableColumn id="4" xr3:uid="{3FCCA843-7050-414C-AD5B-DC03669263C3}" name="Obligations Impact" dataDxfId="8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7" Type="http://schemas.openxmlformats.org/officeDocument/2006/relationships/drawing" Target="../drawings/drawing2.xm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6" Type="http://schemas.openxmlformats.org/officeDocument/2006/relationships/printerSettings" Target="../printerSettings/printerSettings1.bin"/><Relationship Id="rId5" Type="http://schemas.openxmlformats.org/officeDocument/2006/relationships/hyperlink" Target="https://www.cisecurity.org/controls/cis-controls-self-assessment-tool-cis-csat/" TargetMode="External"/><Relationship Id="rId4" Type="http://schemas.openxmlformats.org/officeDocument/2006/relationships/hyperlink" Target="https://csat.cisecurity.or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 Id="rId5" Type="http://schemas.openxmlformats.org/officeDocument/2006/relationships/table" Target="../tables/table8.xml"/><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5.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8.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9E4C-A91F-4172-9FFD-A8283CD782F7}">
  <sheetPr>
    <tabColor rgb="FF003B5C"/>
  </sheetPr>
  <dimension ref="A1"/>
  <sheetViews>
    <sheetView showGridLines="0" tabSelected="1" workbookViewId="0">
      <selection activeCell="P12" sqref="P12"/>
    </sheetView>
  </sheetViews>
  <sheetFormatPr defaultColWidth="11.42578125" defaultRowHeight="15" x14ac:dyDescent="0.25"/>
  <sheetData/>
  <sheetProtection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B4DF1-E07F-4D75-A464-B476FC2DFCC8}">
  <sheetPr>
    <tabColor rgb="FFFF0000"/>
  </sheetPr>
  <dimension ref="B1:W60"/>
  <sheetViews>
    <sheetView showGridLines="0" workbookViewId="0">
      <selection activeCell="B1" sqref="B1:J1"/>
    </sheetView>
  </sheetViews>
  <sheetFormatPr defaultColWidth="9.140625" defaultRowHeight="12.75" x14ac:dyDescent="0.2"/>
  <cols>
    <col min="1" max="1" width="4.5703125" style="153" customWidth="1"/>
    <col min="2" max="2" width="18.7109375" style="172" customWidth="1"/>
    <col min="3" max="3" width="15.5703125" style="184" customWidth="1"/>
    <col min="4" max="4" width="17.7109375" style="184" customWidth="1"/>
    <col min="5" max="5" width="19.140625" style="184" customWidth="1"/>
    <col min="6" max="6" width="5.7109375" style="153" customWidth="1"/>
    <col min="7" max="7" width="17.7109375" style="185" customWidth="1"/>
    <col min="8" max="9" width="15.7109375" style="184" customWidth="1"/>
    <col min="10" max="10" width="16.7109375" style="184" customWidth="1"/>
    <col min="11" max="16384" width="9.140625" style="153"/>
  </cols>
  <sheetData>
    <row r="1" spans="2:23" ht="57" customHeight="1" thickBot="1" x14ac:dyDescent="0.4">
      <c r="B1" s="312" t="s">
        <v>355</v>
      </c>
      <c r="C1" s="313"/>
      <c r="D1" s="313"/>
      <c r="E1" s="313"/>
      <c r="F1" s="313"/>
      <c r="G1" s="313"/>
      <c r="H1" s="313"/>
      <c r="I1" s="313"/>
      <c r="J1" s="314"/>
      <c r="L1" s="183"/>
      <c r="M1" s="183"/>
      <c r="N1" s="183"/>
      <c r="O1" s="183"/>
      <c r="P1" s="183"/>
    </row>
    <row r="2" spans="2:23" ht="13.5" thickBot="1" x14ac:dyDescent="0.25"/>
    <row r="3" spans="2:23" ht="26.25" customHeight="1" thickBot="1" x14ac:dyDescent="0.25">
      <c r="B3" s="309" t="s">
        <v>357</v>
      </c>
      <c r="C3" s="310"/>
      <c r="D3" s="310"/>
      <c r="E3" s="311"/>
      <c r="G3" s="309" t="s">
        <v>356</v>
      </c>
      <c r="H3" s="310"/>
      <c r="I3" s="310"/>
      <c r="J3" s="311"/>
    </row>
    <row r="4" spans="2:23" ht="25.5" customHeight="1" thickTop="1" thickBot="1" x14ac:dyDescent="0.25">
      <c r="B4" s="186" t="s">
        <v>306</v>
      </c>
      <c r="C4" s="151" t="s">
        <v>307</v>
      </c>
      <c r="D4" s="151" t="s">
        <v>308</v>
      </c>
      <c r="E4" s="187" t="s">
        <v>351</v>
      </c>
      <c r="F4" s="188"/>
      <c r="G4" s="186" t="s">
        <v>309</v>
      </c>
      <c r="H4" s="151" t="s">
        <v>307</v>
      </c>
      <c r="I4" s="151" t="s">
        <v>308</v>
      </c>
      <c r="J4" s="187" t="s">
        <v>351</v>
      </c>
      <c r="K4" s="188"/>
      <c r="L4" s="308" t="s">
        <v>365</v>
      </c>
      <c r="M4" s="308"/>
      <c r="N4" s="308"/>
      <c r="O4" s="308"/>
      <c r="P4" s="308"/>
      <c r="Q4" s="308"/>
      <c r="R4" s="308"/>
      <c r="S4" s="308"/>
      <c r="T4" s="308"/>
      <c r="U4" s="216"/>
      <c r="V4" s="216"/>
      <c r="W4" s="215"/>
    </row>
    <row r="5" spans="2:23" s="188" customFormat="1" ht="13.5" customHeight="1" thickTop="1" x14ac:dyDescent="0.2">
      <c r="B5" s="120">
        <v>1.4</v>
      </c>
      <c r="C5" s="120" t="s">
        <v>314</v>
      </c>
      <c r="D5" s="120" t="str">
        <f>LEFT($C5, 1)</f>
        <v>5</v>
      </c>
      <c r="E5" s="189" t="str">
        <f>D5</f>
        <v>5</v>
      </c>
      <c r="F5" s="153"/>
      <c r="G5" s="120">
        <v>1.1000000000000001</v>
      </c>
      <c r="H5" s="120" t="s">
        <v>314</v>
      </c>
      <c r="I5" s="120" t="str">
        <f>LEFT($H5, 1)</f>
        <v>5</v>
      </c>
      <c r="J5" s="189" t="str">
        <f>I5</f>
        <v>5</v>
      </c>
      <c r="K5" s="153"/>
      <c r="L5" s="308"/>
      <c r="M5" s="308"/>
      <c r="N5" s="308"/>
      <c r="O5" s="308"/>
      <c r="P5" s="308"/>
      <c r="Q5" s="308"/>
      <c r="R5" s="308"/>
      <c r="S5" s="308"/>
      <c r="T5" s="308"/>
      <c r="U5" s="216"/>
      <c r="V5" s="216"/>
      <c r="W5" s="215"/>
    </row>
    <row r="6" spans="2:23" ht="12.75" customHeight="1" x14ac:dyDescent="0.2">
      <c r="B6" s="121">
        <v>1.6</v>
      </c>
      <c r="C6" s="121" t="s">
        <v>319</v>
      </c>
      <c r="D6" s="121" t="str">
        <f t="shared" ref="D6:D47" si="0">LEFT($C6, 1)</f>
        <v>3</v>
      </c>
      <c r="E6" s="190" t="str">
        <f t="shared" ref="E6:E47" si="1">D6</f>
        <v>3</v>
      </c>
      <c r="G6" s="121">
        <v>1.2</v>
      </c>
      <c r="H6" s="121" t="s">
        <v>319</v>
      </c>
      <c r="I6" s="121" t="str">
        <f t="shared" ref="I6:I60" si="2">LEFT($H6, 1)</f>
        <v>3</v>
      </c>
      <c r="J6" s="190" t="str">
        <f t="shared" ref="J6:J60" si="3">I6</f>
        <v>3</v>
      </c>
      <c r="L6" s="308"/>
      <c r="M6" s="308"/>
      <c r="N6" s="308"/>
      <c r="O6" s="308"/>
      <c r="P6" s="308"/>
      <c r="Q6" s="308"/>
      <c r="R6" s="308"/>
      <c r="S6" s="308"/>
      <c r="T6" s="308"/>
      <c r="U6" s="216"/>
      <c r="V6" s="216"/>
      <c r="W6" s="215"/>
    </row>
    <row r="7" spans="2:23" ht="12.75" customHeight="1" x14ac:dyDescent="0.2">
      <c r="B7" s="120">
        <v>2.1</v>
      </c>
      <c r="C7" s="120" t="s">
        <v>324</v>
      </c>
      <c r="D7" s="120" t="str">
        <f t="shared" si="0"/>
        <v>4</v>
      </c>
      <c r="E7" s="191" t="str">
        <f t="shared" si="1"/>
        <v>4</v>
      </c>
      <c r="G7" s="120">
        <v>2.1</v>
      </c>
      <c r="H7" s="120" t="s">
        <v>324</v>
      </c>
      <c r="I7" s="120" t="str">
        <f t="shared" si="2"/>
        <v>4</v>
      </c>
      <c r="J7" s="191" t="str">
        <f t="shared" si="3"/>
        <v>4</v>
      </c>
      <c r="L7" s="308"/>
      <c r="M7" s="308"/>
      <c r="N7" s="308"/>
      <c r="O7" s="308"/>
      <c r="P7" s="308"/>
      <c r="Q7" s="308"/>
      <c r="R7" s="308"/>
      <c r="S7" s="308"/>
      <c r="T7" s="308"/>
      <c r="U7" s="216"/>
      <c r="V7" s="216"/>
      <c r="W7" s="215"/>
    </row>
    <row r="8" spans="2:23" ht="12.75" customHeight="1" x14ac:dyDescent="0.2">
      <c r="B8" s="121">
        <v>2.2000000000000002</v>
      </c>
      <c r="C8" s="121" t="s">
        <v>319</v>
      </c>
      <c r="D8" s="121" t="str">
        <f t="shared" si="0"/>
        <v>3</v>
      </c>
      <c r="E8" s="190" t="str">
        <f t="shared" si="1"/>
        <v>3</v>
      </c>
      <c r="G8" s="121">
        <v>2.2000000000000002</v>
      </c>
      <c r="H8" s="121" t="s">
        <v>319</v>
      </c>
      <c r="I8" s="121" t="str">
        <f t="shared" si="2"/>
        <v>3</v>
      </c>
      <c r="J8" s="190" t="str">
        <f t="shared" si="3"/>
        <v>3</v>
      </c>
      <c r="L8" s="308"/>
      <c r="M8" s="308"/>
      <c r="N8" s="308"/>
      <c r="O8" s="308"/>
      <c r="P8" s="308"/>
      <c r="Q8" s="308"/>
      <c r="R8" s="308"/>
      <c r="S8" s="308"/>
      <c r="T8" s="308"/>
      <c r="U8" s="216"/>
      <c r="V8" s="216"/>
      <c r="W8" s="215"/>
    </row>
    <row r="9" spans="2:23" ht="12.75" customHeight="1" x14ac:dyDescent="0.2">
      <c r="B9" s="120">
        <v>2.6</v>
      </c>
      <c r="C9" s="120" t="s">
        <v>328</v>
      </c>
      <c r="D9" s="120" t="str">
        <f t="shared" si="0"/>
        <v>2</v>
      </c>
      <c r="E9" s="191" t="str">
        <f t="shared" si="1"/>
        <v>2</v>
      </c>
      <c r="G9" s="120">
        <v>2.2999999999999998</v>
      </c>
      <c r="H9" s="120" t="s">
        <v>328</v>
      </c>
      <c r="I9" s="120" t="str">
        <f t="shared" si="2"/>
        <v>2</v>
      </c>
      <c r="J9" s="191" t="str">
        <f t="shared" si="3"/>
        <v>2</v>
      </c>
      <c r="L9" s="308"/>
      <c r="M9" s="308"/>
      <c r="N9" s="308"/>
      <c r="O9" s="308"/>
      <c r="P9" s="308"/>
      <c r="Q9" s="308"/>
      <c r="R9" s="308"/>
      <c r="S9" s="308"/>
      <c r="T9" s="308"/>
      <c r="U9" s="216"/>
      <c r="V9" s="216"/>
      <c r="W9" s="215"/>
    </row>
    <row r="10" spans="2:23" ht="12.75" customHeight="1" x14ac:dyDescent="0.2">
      <c r="B10" s="121">
        <v>3.4</v>
      </c>
      <c r="C10" s="121" t="s">
        <v>324</v>
      </c>
      <c r="D10" s="121" t="str">
        <f t="shared" si="0"/>
        <v>4</v>
      </c>
      <c r="E10" s="190" t="str">
        <f t="shared" si="1"/>
        <v>4</v>
      </c>
      <c r="G10" s="121">
        <v>3.1</v>
      </c>
      <c r="H10" s="121" t="s">
        <v>324</v>
      </c>
      <c r="I10" s="121" t="str">
        <f t="shared" si="2"/>
        <v>4</v>
      </c>
      <c r="J10" s="190" t="str">
        <f t="shared" si="3"/>
        <v>4</v>
      </c>
      <c r="L10" s="308"/>
      <c r="M10" s="308"/>
      <c r="N10" s="308"/>
      <c r="O10" s="308"/>
      <c r="P10" s="308"/>
      <c r="Q10" s="308"/>
      <c r="R10" s="308"/>
      <c r="S10" s="308"/>
      <c r="T10" s="308"/>
      <c r="U10" s="216"/>
      <c r="V10" s="216"/>
      <c r="W10" s="215"/>
    </row>
    <row r="11" spans="2:23" ht="12.75" customHeight="1" x14ac:dyDescent="0.2">
      <c r="B11" s="120">
        <v>3.5</v>
      </c>
      <c r="C11" s="120" t="s">
        <v>324</v>
      </c>
      <c r="D11" s="120" t="str">
        <f t="shared" si="0"/>
        <v>4</v>
      </c>
      <c r="E11" s="191" t="str">
        <f t="shared" si="1"/>
        <v>4</v>
      </c>
      <c r="G11" s="120">
        <v>3.2</v>
      </c>
      <c r="H11" s="120" t="s">
        <v>324</v>
      </c>
      <c r="I11" s="120" t="str">
        <f t="shared" si="2"/>
        <v>4</v>
      </c>
      <c r="J11" s="191" t="str">
        <f t="shared" si="3"/>
        <v>4</v>
      </c>
      <c r="L11" s="308"/>
      <c r="M11" s="308"/>
      <c r="N11" s="308"/>
      <c r="O11" s="308"/>
      <c r="P11" s="308"/>
      <c r="Q11" s="308"/>
      <c r="R11" s="308"/>
      <c r="S11" s="308"/>
      <c r="T11" s="308"/>
      <c r="U11" s="216"/>
      <c r="V11" s="216"/>
      <c r="W11" s="215"/>
    </row>
    <row r="12" spans="2:23" ht="12.75" customHeight="1" x14ac:dyDescent="0.2">
      <c r="B12" s="121">
        <v>4.2</v>
      </c>
      <c r="C12" s="121" t="s">
        <v>328</v>
      </c>
      <c r="D12" s="121" t="str">
        <f t="shared" si="0"/>
        <v>2</v>
      </c>
      <c r="E12" s="190" t="str">
        <f t="shared" si="1"/>
        <v>2</v>
      </c>
      <c r="G12" s="121">
        <v>3.3</v>
      </c>
      <c r="H12" s="121" t="s">
        <v>328</v>
      </c>
      <c r="I12" s="121" t="str">
        <f t="shared" si="2"/>
        <v>2</v>
      </c>
      <c r="J12" s="190" t="str">
        <f t="shared" si="3"/>
        <v>2</v>
      </c>
      <c r="L12" s="308"/>
      <c r="M12" s="308"/>
      <c r="N12" s="308"/>
      <c r="O12" s="308"/>
      <c r="P12" s="308"/>
      <c r="Q12" s="308"/>
      <c r="R12" s="308"/>
      <c r="S12" s="308"/>
      <c r="T12" s="308"/>
      <c r="U12" s="216"/>
      <c r="V12" s="216"/>
      <c r="W12" s="215"/>
    </row>
    <row r="13" spans="2:23" ht="12.75" customHeight="1" x14ac:dyDescent="0.2">
      <c r="B13" s="120">
        <v>4.3</v>
      </c>
      <c r="C13" s="120" t="s">
        <v>328</v>
      </c>
      <c r="D13" s="120" t="str">
        <f t="shared" si="0"/>
        <v>2</v>
      </c>
      <c r="E13" s="191" t="str">
        <f t="shared" si="1"/>
        <v>2</v>
      </c>
      <c r="G13" s="120">
        <v>3.4</v>
      </c>
      <c r="H13" s="120" t="s">
        <v>328</v>
      </c>
      <c r="I13" s="120" t="str">
        <f t="shared" si="2"/>
        <v>2</v>
      </c>
      <c r="J13" s="191" t="str">
        <f t="shared" si="3"/>
        <v>2</v>
      </c>
      <c r="L13" s="308"/>
      <c r="M13" s="308"/>
      <c r="N13" s="308"/>
      <c r="O13" s="308"/>
      <c r="P13" s="308"/>
      <c r="Q13" s="308"/>
      <c r="R13" s="308"/>
      <c r="S13" s="308"/>
      <c r="T13" s="308"/>
      <c r="U13" s="216"/>
      <c r="V13" s="216"/>
      <c r="W13" s="215"/>
    </row>
    <row r="14" spans="2:23" ht="12.75" customHeight="1" x14ac:dyDescent="0.2">
      <c r="B14" s="121">
        <v>5.0999999999999996</v>
      </c>
      <c r="C14" s="121" t="s">
        <v>314</v>
      </c>
      <c r="D14" s="121" t="str">
        <f t="shared" si="0"/>
        <v>5</v>
      </c>
      <c r="E14" s="190" t="str">
        <f t="shared" si="1"/>
        <v>5</v>
      </c>
      <c r="G14" s="121">
        <v>3.5</v>
      </c>
      <c r="H14" s="121" t="s">
        <v>314</v>
      </c>
      <c r="I14" s="121" t="str">
        <f t="shared" si="2"/>
        <v>5</v>
      </c>
      <c r="J14" s="190" t="str">
        <f t="shared" si="3"/>
        <v>5</v>
      </c>
      <c r="L14" s="308"/>
      <c r="M14" s="308"/>
      <c r="N14" s="308"/>
      <c r="O14" s="308"/>
      <c r="P14" s="308"/>
      <c r="Q14" s="308"/>
      <c r="R14" s="308"/>
      <c r="S14" s="308"/>
      <c r="T14" s="308"/>
      <c r="U14" s="216"/>
      <c r="V14" s="216"/>
      <c r="W14" s="215"/>
    </row>
    <row r="15" spans="2:23" ht="12.75" customHeight="1" x14ac:dyDescent="0.2">
      <c r="B15" s="120">
        <v>6.2</v>
      </c>
      <c r="C15" s="120" t="s">
        <v>328</v>
      </c>
      <c r="D15" s="120" t="str">
        <f t="shared" si="0"/>
        <v>2</v>
      </c>
      <c r="E15" s="191" t="str">
        <f t="shared" si="1"/>
        <v>2</v>
      </c>
      <c r="G15" s="120">
        <v>3.6</v>
      </c>
      <c r="H15" s="120" t="s">
        <v>328</v>
      </c>
      <c r="I15" s="120" t="str">
        <f t="shared" si="2"/>
        <v>2</v>
      </c>
      <c r="J15" s="191" t="str">
        <f t="shared" si="3"/>
        <v>2</v>
      </c>
      <c r="L15" s="216"/>
      <c r="M15" s="216"/>
      <c r="N15" s="216"/>
      <c r="O15" s="216"/>
      <c r="P15" s="216"/>
      <c r="Q15" s="216"/>
      <c r="R15" s="216"/>
      <c r="S15" s="216"/>
      <c r="T15" s="216"/>
      <c r="U15" s="216"/>
      <c r="V15" s="216"/>
      <c r="W15" s="215"/>
    </row>
    <row r="16" spans="2:23" ht="12.75" customHeight="1" x14ac:dyDescent="0.2">
      <c r="B16" s="121">
        <v>7.1</v>
      </c>
      <c r="C16" s="121"/>
      <c r="D16" s="121" t="str">
        <f t="shared" si="0"/>
        <v/>
      </c>
      <c r="E16" s="190" t="str">
        <f t="shared" si="1"/>
        <v/>
      </c>
      <c r="G16" s="121">
        <v>4.0999999999999996</v>
      </c>
      <c r="H16" s="121"/>
      <c r="I16" s="121" t="str">
        <f t="shared" si="2"/>
        <v/>
      </c>
      <c r="J16" s="190" t="str">
        <f t="shared" si="3"/>
        <v/>
      </c>
      <c r="L16" s="216"/>
      <c r="M16" s="216"/>
      <c r="N16" s="216"/>
      <c r="O16" s="216"/>
      <c r="P16" s="216"/>
      <c r="Q16" s="216"/>
      <c r="R16" s="216"/>
      <c r="S16" s="216"/>
      <c r="T16" s="216"/>
      <c r="U16" s="216"/>
      <c r="V16" s="216"/>
      <c r="W16" s="215"/>
    </row>
    <row r="17" spans="2:23" ht="12.75" customHeight="1" x14ac:dyDescent="0.2">
      <c r="B17" s="120">
        <v>7.7</v>
      </c>
      <c r="C17" s="120" t="s">
        <v>332</v>
      </c>
      <c r="D17" s="120" t="str">
        <f t="shared" si="0"/>
        <v>N</v>
      </c>
      <c r="E17" s="191" t="str">
        <f t="shared" si="1"/>
        <v>N</v>
      </c>
      <c r="G17" s="120">
        <v>4.2</v>
      </c>
      <c r="H17" s="120" t="s">
        <v>332</v>
      </c>
      <c r="I17" s="120" t="str">
        <f t="shared" si="2"/>
        <v>N</v>
      </c>
      <c r="J17" s="191" t="str">
        <f t="shared" si="3"/>
        <v>N</v>
      </c>
      <c r="L17" s="216"/>
      <c r="M17" s="216"/>
      <c r="N17" s="216"/>
      <c r="O17" s="216"/>
      <c r="P17" s="216"/>
      <c r="Q17" s="216"/>
      <c r="R17" s="216"/>
      <c r="S17" s="216"/>
      <c r="T17" s="216"/>
      <c r="U17" s="216"/>
      <c r="V17" s="216"/>
      <c r="W17" s="215"/>
    </row>
    <row r="18" spans="2:23" ht="12.75" customHeight="1" x14ac:dyDescent="0.2">
      <c r="B18" s="121">
        <v>8.1999999999999993</v>
      </c>
      <c r="C18" s="121"/>
      <c r="D18" s="121" t="str">
        <f t="shared" si="0"/>
        <v/>
      </c>
      <c r="E18" s="190" t="str">
        <f t="shared" si="1"/>
        <v/>
      </c>
      <c r="G18" s="121">
        <v>4.3</v>
      </c>
      <c r="H18" s="121"/>
      <c r="I18" s="121" t="str">
        <f t="shared" si="2"/>
        <v/>
      </c>
      <c r="J18" s="190" t="str">
        <f t="shared" si="3"/>
        <v/>
      </c>
      <c r="L18" s="216"/>
      <c r="M18" s="216"/>
      <c r="N18" s="216"/>
      <c r="O18" s="216"/>
      <c r="P18" s="216"/>
      <c r="Q18" s="216"/>
      <c r="R18" s="216"/>
      <c r="S18" s="216"/>
      <c r="T18" s="216"/>
      <c r="U18" s="216"/>
      <c r="V18" s="216"/>
      <c r="W18" s="215"/>
    </row>
    <row r="19" spans="2:23" ht="12.75" customHeight="1" x14ac:dyDescent="0.2">
      <c r="B19" s="120">
        <v>8.4</v>
      </c>
      <c r="C19" s="120" t="s">
        <v>336</v>
      </c>
      <c r="D19" s="120" t="str">
        <f t="shared" si="0"/>
        <v>N</v>
      </c>
      <c r="E19" s="191" t="str">
        <f t="shared" si="1"/>
        <v>N</v>
      </c>
      <c r="G19" s="120">
        <v>4.4000000000000004</v>
      </c>
      <c r="H19" s="120" t="s">
        <v>336</v>
      </c>
      <c r="I19" s="120" t="str">
        <f t="shared" si="2"/>
        <v>N</v>
      </c>
      <c r="J19" s="191" t="str">
        <f t="shared" si="3"/>
        <v>N</v>
      </c>
      <c r="L19" s="216"/>
      <c r="M19" s="216"/>
      <c r="N19" s="216"/>
      <c r="O19" s="216"/>
      <c r="P19" s="216"/>
      <c r="Q19" s="216"/>
      <c r="R19" s="216"/>
      <c r="S19" s="216"/>
      <c r="T19" s="216"/>
      <c r="U19" s="216"/>
      <c r="V19" s="216"/>
      <c r="W19" s="215"/>
    </row>
    <row r="20" spans="2:23" ht="12.75" customHeight="1" x14ac:dyDescent="0.2">
      <c r="B20" s="121">
        <v>8.5</v>
      </c>
      <c r="C20" s="121"/>
      <c r="D20" s="121" t="str">
        <f t="shared" si="0"/>
        <v/>
      </c>
      <c r="E20" s="190" t="str">
        <f t="shared" si="1"/>
        <v/>
      </c>
      <c r="G20" s="121">
        <v>4.5</v>
      </c>
      <c r="H20" s="121"/>
      <c r="I20" s="121" t="str">
        <f t="shared" si="2"/>
        <v/>
      </c>
      <c r="J20" s="190" t="str">
        <f t="shared" si="3"/>
        <v/>
      </c>
      <c r="L20" s="216"/>
      <c r="M20" s="216"/>
      <c r="N20" s="216"/>
      <c r="O20" s="216"/>
      <c r="P20" s="216"/>
      <c r="Q20" s="216"/>
      <c r="R20" s="216"/>
      <c r="S20" s="216"/>
      <c r="T20" s="216"/>
      <c r="U20" s="216"/>
      <c r="V20" s="216"/>
      <c r="W20" s="215"/>
    </row>
    <row r="21" spans="2:23" ht="12.75" customHeight="1" x14ac:dyDescent="0.2">
      <c r="B21" s="120">
        <v>9.4</v>
      </c>
      <c r="C21" s="120"/>
      <c r="D21" s="120" t="str">
        <f t="shared" si="0"/>
        <v/>
      </c>
      <c r="E21" s="191" t="str">
        <f t="shared" si="1"/>
        <v/>
      </c>
      <c r="G21" s="120">
        <v>4.5999999999999996</v>
      </c>
      <c r="H21" s="120"/>
      <c r="I21" s="120" t="str">
        <f t="shared" si="2"/>
        <v/>
      </c>
      <c r="J21" s="191" t="str">
        <f t="shared" si="3"/>
        <v/>
      </c>
      <c r="L21" s="216"/>
      <c r="M21" s="216"/>
      <c r="N21" s="216"/>
      <c r="O21" s="216"/>
      <c r="P21" s="216"/>
      <c r="Q21" s="216"/>
      <c r="R21" s="216"/>
      <c r="S21" s="216"/>
      <c r="T21" s="216"/>
      <c r="U21" s="216"/>
      <c r="V21" s="216"/>
      <c r="W21" s="215"/>
    </row>
    <row r="22" spans="2:23" ht="12.75" customHeight="1" x14ac:dyDescent="0.2">
      <c r="B22" s="121">
        <v>10.1</v>
      </c>
      <c r="C22" s="121"/>
      <c r="D22" s="121" t="str">
        <f t="shared" si="0"/>
        <v/>
      </c>
      <c r="E22" s="190" t="str">
        <f t="shared" si="1"/>
        <v/>
      </c>
      <c r="G22" s="121">
        <v>4.7</v>
      </c>
      <c r="H22" s="121"/>
      <c r="I22" s="121" t="str">
        <f t="shared" si="2"/>
        <v/>
      </c>
      <c r="J22" s="190" t="str">
        <f t="shared" si="3"/>
        <v/>
      </c>
      <c r="L22" s="215"/>
      <c r="M22" s="215"/>
      <c r="N22" s="215"/>
      <c r="O22" s="215"/>
      <c r="P22" s="215"/>
      <c r="Q22" s="215"/>
      <c r="R22" s="215"/>
      <c r="S22" s="215"/>
      <c r="T22" s="215"/>
      <c r="U22" s="215"/>
      <c r="V22" s="215"/>
      <c r="W22" s="215"/>
    </row>
    <row r="23" spans="2:23" ht="12.75" customHeight="1" x14ac:dyDescent="0.2">
      <c r="B23" s="120">
        <v>10.199999999999999</v>
      </c>
      <c r="C23" s="120"/>
      <c r="D23" s="120" t="str">
        <f t="shared" si="0"/>
        <v/>
      </c>
      <c r="E23" s="191" t="str">
        <f t="shared" si="1"/>
        <v/>
      </c>
      <c r="G23" s="120">
        <v>5.0999999999999996</v>
      </c>
      <c r="H23" s="120"/>
      <c r="I23" s="120" t="str">
        <f t="shared" si="2"/>
        <v/>
      </c>
      <c r="J23" s="191" t="str">
        <f t="shared" si="3"/>
        <v/>
      </c>
      <c r="L23" s="215"/>
      <c r="M23" s="215"/>
      <c r="N23" s="215"/>
      <c r="O23" s="215"/>
      <c r="P23" s="215"/>
      <c r="Q23" s="215"/>
      <c r="R23" s="215"/>
      <c r="S23" s="215"/>
      <c r="T23" s="215"/>
      <c r="U23" s="215"/>
      <c r="V23" s="215"/>
      <c r="W23" s="215"/>
    </row>
    <row r="24" spans="2:23" ht="12.75" customHeight="1" x14ac:dyDescent="0.2">
      <c r="B24" s="121">
        <v>10.4</v>
      </c>
      <c r="C24" s="121"/>
      <c r="D24" s="121" t="str">
        <f t="shared" si="0"/>
        <v/>
      </c>
      <c r="E24" s="190" t="str">
        <f t="shared" si="1"/>
        <v/>
      </c>
      <c r="G24" s="121">
        <v>5.2</v>
      </c>
      <c r="H24" s="121"/>
      <c r="I24" s="121" t="str">
        <f t="shared" si="2"/>
        <v/>
      </c>
      <c r="J24" s="190" t="str">
        <f t="shared" si="3"/>
        <v/>
      </c>
      <c r="L24" s="215"/>
      <c r="M24" s="215"/>
      <c r="N24" s="215"/>
      <c r="O24" s="215"/>
      <c r="P24" s="215"/>
      <c r="Q24" s="215"/>
      <c r="R24" s="215"/>
      <c r="S24" s="215"/>
      <c r="T24" s="215"/>
      <c r="U24" s="215"/>
      <c r="V24" s="215"/>
      <c r="W24" s="215"/>
    </row>
    <row r="25" spans="2:23" ht="12.75" customHeight="1" x14ac:dyDescent="0.2">
      <c r="B25" s="120">
        <v>10.5</v>
      </c>
      <c r="C25" s="120"/>
      <c r="D25" s="120" t="str">
        <f t="shared" si="0"/>
        <v/>
      </c>
      <c r="E25" s="191" t="str">
        <f t="shared" si="1"/>
        <v/>
      </c>
      <c r="G25" s="120">
        <v>5.3</v>
      </c>
      <c r="H25" s="120"/>
      <c r="I25" s="120" t="str">
        <f t="shared" si="2"/>
        <v/>
      </c>
      <c r="J25" s="191" t="str">
        <f t="shared" si="3"/>
        <v/>
      </c>
      <c r="L25" s="215"/>
      <c r="M25" s="215"/>
      <c r="N25" s="215"/>
      <c r="O25" s="215"/>
      <c r="P25" s="215"/>
      <c r="Q25" s="215"/>
      <c r="R25" s="215"/>
      <c r="S25" s="215"/>
      <c r="T25" s="215"/>
      <c r="U25" s="215"/>
      <c r="V25" s="215"/>
      <c r="W25" s="215"/>
    </row>
    <row r="26" spans="2:23" ht="12.75" customHeight="1" x14ac:dyDescent="0.2">
      <c r="B26" s="121">
        <v>11.4</v>
      </c>
      <c r="C26" s="121"/>
      <c r="D26" s="121" t="str">
        <f t="shared" si="0"/>
        <v/>
      </c>
      <c r="E26" s="190" t="str">
        <f t="shared" si="1"/>
        <v/>
      </c>
      <c r="G26" s="121">
        <v>5.4</v>
      </c>
      <c r="H26" s="121"/>
      <c r="I26" s="121" t="str">
        <f t="shared" si="2"/>
        <v/>
      </c>
      <c r="J26" s="190" t="str">
        <f t="shared" si="3"/>
        <v/>
      </c>
      <c r="L26" s="215"/>
      <c r="M26" s="215"/>
      <c r="N26" s="215"/>
      <c r="O26" s="215"/>
      <c r="P26" s="215"/>
      <c r="Q26" s="215"/>
      <c r="R26" s="215"/>
      <c r="S26" s="215"/>
      <c r="T26" s="215"/>
      <c r="U26" s="215"/>
      <c r="V26" s="215"/>
      <c r="W26" s="215"/>
    </row>
    <row r="27" spans="2:23" x14ac:dyDescent="0.2">
      <c r="B27" s="120">
        <v>12.1</v>
      </c>
      <c r="C27" s="120"/>
      <c r="D27" s="120" t="str">
        <f t="shared" si="0"/>
        <v/>
      </c>
      <c r="E27" s="191" t="str">
        <f t="shared" si="1"/>
        <v/>
      </c>
      <c r="G27" s="120">
        <v>6.1</v>
      </c>
      <c r="H27" s="120"/>
      <c r="I27" s="120" t="str">
        <f t="shared" si="2"/>
        <v/>
      </c>
      <c r="J27" s="191" t="str">
        <f t="shared" si="3"/>
        <v/>
      </c>
      <c r="L27" s="192"/>
      <c r="M27" s="192"/>
      <c r="N27" s="192"/>
      <c r="O27" s="192"/>
      <c r="P27" s="192"/>
    </row>
    <row r="28" spans="2:23" x14ac:dyDescent="0.2">
      <c r="B28" s="121">
        <v>12.4</v>
      </c>
      <c r="C28" s="121"/>
      <c r="D28" s="121" t="str">
        <f t="shared" si="0"/>
        <v/>
      </c>
      <c r="E28" s="190" t="str">
        <f t="shared" si="1"/>
        <v/>
      </c>
      <c r="G28" s="121">
        <v>6.2</v>
      </c>
      <c r="H28" s="121"/>
      <c r="I28" s="121" t="str">
        <f t="shared" si="2"/>
        <v/>
      </c>
      <c r="J28" s="190" t="str">
        <f t="shared" si="3"/>
        <v/>
      </c>
      <c r="L28" s="192"/>
      <c r="M28" s="192"/>
      <c r="N28" s="192"/>
      <c r="O28" s="192"/>
      <c r="P28" s="192"/>
    </row>
    <row r="29" spans="2:23" x14ac:dyDescent="0.2">
      <c r="B29" s="120">
        <v>13.1</v>
      </c>
      <c r="C29" s="120"/>
      <c r="D29" s="120" t="str">
        <f t="shared" si="0"/>
        <v/>
      </c>
      <c r="E29" s="191" t="str">
        <f t="shared" si="1"/>
        <v/>
      </c>
      <c r="G29" s="120">
        <v>6.3</v>
      </c>
      <c r="H29" s="120"/>
      <c r="I29" s="120" t="str">
        <f t="shared" si="2"/>
        <v/>
      </c>
      <c r="J29" s="191" t="str">
        <f t="shared" si="3"/>
        <v/>
      </c>
      <c r="L29" s="192"/>
      <c r="M29" s="192"/>
      <c r="N29" s="192"/>
      <c r="O29" s="192"/>
      <c r="P29" s="192"/>
    </row>
    <row r="30" spans="2:23" x14ac:dyDescent="0.2">
      <c r="B30" s="121">
        <v>13.2</v>
      </c>
      <c r="C30" s="121"/>
      <c r="D30" s="121" t="str">
        <f t="shared" si="0"/>
        <v/>
      </c>
      <c r="E30" s="190" t="str">
        <f t="shared" si="1"/>
        <v/>
      </c>
      <c r="G30" s="121">
        <v>6.4</v>
      </c>
      <c r="H30" s="121"/>
      <c r="I30" s="121" t="str">
        <f t="shared" si="2"/>
        <v/>
      </c>
      <c r="J30" s="190" t="str">
        <f t="shared" si="3"/>
        <v/>
      </c>
      <c r="L30" s="192"/>
      <c r="M30" s="192"/>
      <c r="N30" s="192"/>
      <c r="O30" s="192"/>
      <c r="P30" s="192"/>
    </row>
    <row r="31" spans="2:23" x14ac:dyDescent="0.2">
      <c r="B31" s="120">
        <v>13.6</v>
      </c>
      <c r="C31" s="120"/>
      <c r="D31" s="120" t="str">
        <f t="shared" si="0"/>
        <v/>
      </c>
      <c r="E31" s="191" t="str">
        <f t="shared" si="1"/>
        <v/>
      </c>
      <c r="G31" s="120">
        <v>6.5</v>
      </c>
      <c r="H31" s="120"/>
      <c r="I31" s="120" t="str">
        <f t="shared" si="2"/>
        <v/>
      </c>
      <c r="J31" s="191" t="str">
        <f t="shared" si="3"/>
        <v/>
      </c>
      <c r="L31" s="192"/>
      <c r="M31" s="192"/>
      <c r="N31" s="192"/>
      <c r="O31" s="192"/>
      <c r="P31" s="192"/>
    </row>
    <row r="32" spans="2:23" x14ac:dyDescent="0.2">
      <c r="B32" s="121">
        <v>14.6</v>
      </c>
      <c r="C32" s="121"/>
      <c r="D32" s="121" t="str">
        <f t="shared" si="0"/>
        <v/>
      </c>
      <c r="E32" s="190" t="str">
        <f t="shared" si="1"/>
        <v/>
      </c>
      <c r="G32" s="121">
        <v>7.1</v>
      </c>
      <c r="H32" s="121"/>
      <c r="I32" s="121" t="str">
        <f t="shared" si="2"/>
        <v/>
      </c>
      <c r="J32" s="190" t="str">
        <f t="shared" si="3"/>
        <v/>
      </c>
      <c r="L32" s="192"/>
      <c r="M32" s="192"/>
      <c r="N32" s="192"/>
      <c r="O32" s="192"/>
      <c r="P32" s="192"/>
    </row>
    <row r="33" spans="2:16" x14ac:dyDescent="0.2">
      <c r="B33" s="120">
        <v>15.7</v>
      </c>
      <c r="C33" s="120"/>
      <c r="D33" s="120" t="str">
        <f t="shared" si="0"/>
        <v/>
      </c>
      <c r="E33" s="191" t="str">
        <f t="shared" si="1"/>
        <v/>
      </c>
      <c r="G33" s="120">
        <v>7.2</v>
      </c>
      <c r="H33" s="120"/>
      <c r="I33" s="120" t="str">
        <f t="shared" si="2"/>
        <v/>
      </c>
      <c r="J33" s="191" t="str">
        <f t="shared" si="3"/>
        <v/>
      </c>
      <c r="L33" s="192"/>
      <c r="M33" s="192"/>
      <c r="N33" s="192"/>
      <c r="O33" s="192"/>
      <c r="P33" s="192"/>
    </row>
    <row r="34" spans="2:16" x14ac:dyDescent="0.2">
      <c r="B34" s="193">
        <v>15.1</v>
      </c>
      <c r="C34" s="121"/>
      <c r="D34" s="121" t="str">
        <f t="shared" si="0"/>
        <v/>
      </c>
      <c r="E34" s="190" t="str">
        <f t="shared" si="1"/>
        <v/>
      </c>
      <c r="G34" s="121">
        <v>7.3</v>
      </c>
      <c r="H34" s="121"/>
      <c r="I34" s="121" t="str">
        <f t="shared" si="2"/>
        <v/>
      </c>
      <c r="J34" s="190" t="str">
        <f t="shared" si="3"/>
        <v/>
      </c>
      <c r="L34" s="192"/>
      <c r="M34" s="192"/>
      <c r="N34" s="192"/>
      <c r="O34" s="192"/>
      <c r="P34" s="192"/>
    </row>
    <row r="35" spans="2:16" x14ac:dyDescent="0.2">
      <c r="B35" s="120">
        <v>16.8</v>
      </c>
      <c r="C35" s="120"/>
      <c r="D35" s="120" t="str">
        <f t="shared" si="0"/>
        <v/>
      </c>
      <c r="E35" s="191" t="str">
        <f t="shared" si="1"/>
        <v/>
      </c>
      <c r="G35" s="120">
        <v>7.4</v>
      </c>
      <c r="H35" s="120"/>
      <c r="I35" s="120" t="str">
        <f t="shared" si="2"/>
        <v/>
      </c>
      <c r="J35" s="191" t="str">
        <f t="shared" si="3"/>
        <v/>
      </c>
      <c r="L35" s="192"/>
      <c r="M35" s="192"/>
      <c r="N35" s="192"/>
      <c r="O35" s="192"/>
      <c r="P35" s="192"/>
    </row>
    <row r="36" spans="2:16" x14ac:dyDescent="0.2">
      <c r="B36" s="121">
        <v>16.899999999999999</v>
      </c>
      <c r="C36" s="121"/>
      <c r="D36" s="121" t="str">
        <f t="shared" si="0"/>
        <v/>
      </c>
      <c r="E36" s="190" t="str">
        <f t="shared" si="1"/>
        <v/>
      </c>
      <c r="G36" s="121">
        <v>8.1</v>
      </c>
      <c r="H36" s="121"/>
      <c r="I36" s="121" t="str">
        <f t="shared" si="2"/>
        <v/>
      </c>
      <c r="J36" s="190" t="str">
        <f t="shared" si="3"/>
        <v/>
      </c>
      <c r="L36" s="192"/>
      <c r="M36" s="192"/>
      <c r="N36" s="192"/>
      <c r="O36" s="192"/>
      <c r="P36" s="192"/>
    </row>
    <row r="37" spans="2:16" x14ac:dyDescent="0.2">
      <c r="B37" s="120">
        <v>16.11</v>
      </c>
      <c r="C37" s="120"/>
      <c r="D37" s="120" t="str">
        <f t="shared" si="0"/>
        <v/>
      </c>
      <c r="E37" s="191" t="str">
        <f t="shared" si="1"/>
        <v/>
      </c>
      <c r="G37" s="120">
        <v>8.1999999999999993</v>
      </c>
      <c r="H37" s="120"/>
      <c r="I37" s="120" t="str">
        <f t="shared" si="2"/>
        <v/>
      </c>
      <c r="J37" s="191" t="str">
        <f t="shared" si="3"/>
        <v/>
      </c>
      <c r="L37" s="192"/>
      <c r="M37" s="192"/>
      <c r="N37" s="192"/>
      <c r="O37" s="192"/>
      <c r="P37" s="192"/>
    </row>
    <row r="38" spans="2:16" x14ac:dyDescent="0.2">
      <c r="B38" s="121">
        <v>17.3</v>
      </c>
      <c r="C38" s="121"/>
      <c r="D38" s="121" t="str">
        <f t="shared" si="0"/>
        <v/>
      </c>
      <c r="E38" s="190" t="str">
        <f t="shared" si="1"/>
        <v/>
      </c>
      <c r="G38" s="121">
        <v>8.3000000000000007</v>
      </c>
      <c r="H38" s="121"/>
      <c r="I38" s="121" t="str">
        <f t="shared" si="2"/>
        <v/>
      </c>
      <c r="J38" s="190" t="str">
        <f t="shared" si="3"/>
        <v/>
      </c>
      <c r="L38" s="192"/>
      <c r="M38" s="192"/>
      <c r="N38" s="192"/>
      <c r="O38" s="192"/>
      <c r="P38" s="192"/>
    </row>
    <row r="39" spans="2:16" x14ac:dyDescent="0.2">
      <c r="B39" s="120">
        <v>17.5</v>
      </c>
      <c r="C39" s="120" t="s">
        <v>314</v>
      </c>
      <c r="D39" s="120" t="str">
        <f t="shared" si="0"/>
        <v>5</v>
      </c>
      <c r="E39" s="191" t="str">
        <f t="shared" si="1"/>
        <v>5</v>
      </c>
      <c r="G39" s="120">
        <v>9.1</v>
      </c>
      <c r="H39" s="120" t="s">
        <v>314</v>
      </c>
      <c r="I39" s="120" t="str">
        <f t="shared" si="2"/>
        <v>5</v>
      </c>
      <c r="J39" s="191" t="str">
        <f t="shared" si="3"/>
        <v>5</v>
      </c>
      <c r="L39" s="192"/>
      <c r="M39" s="192"/>
      <c r="N39" s="192"/>
      <c r="O39" s="192"/>
      <c r="P39" s="192"/>
    </row>
    <row r="40" spans="2:16" x14ac:dyDescent="0.2">
      <c r="B40" s="121">
        <v>17.600000000000001</v>
      </c>
      <c r="C40" s="121"/>
      <c r="D40" s="121" t="str">
        <f t="shared" si="0"/>
        <v/>
      </c>
      <c r="E40" s="190" t="str">
        <f t="shared" si="1"/>
        <v/>
      </c>
      <c r="G40" s="121">
        <v>9.1999999999999993</v>
      </c>
      <c r="H40" s="121"/>
      <c r="I40" s="121" t="str">
        <f t="shared" si="2"/>
        <v/>
      </c>
      <c r="J40" s="190" t="str">
        <f t="shared" si="3"/>
        <v/>
      </c>
      <c r="L40" s="192"/>
      <c r="M40" s="192"/>
      <c r="N40" s="192"/>
      <c r="O40" s="192"/>
      <c r="P40" s="192"/>
    </row>
    <row r="41" spans="2:16" x14ac:dyDescent="0.2">
      <c r="B41" s="120">
        <v>17.7</v>
      </c>
      <c r="C41" s="120"/>
      <c r="D41" s="120" t="str">
        <f t="shared" si="0"/>
        <v/>
      </c>
      <c r="E41" s="191" t="str">
        <f t="shared" si="1"/>
        <v/>
      </c>
      <c r="G41" s="120">
        <v>10.1</v>
      </c>
      <c r="H41" s="120"/>
      <c r="I41" s="120" t="str">
        <f t="shared" si="2"/>
        <v/>
      </c>
      <c r="J41" s="191" t="str">
        <f t="shared" si="3"/>
        <v/>
      </c>
      <c r="L41" s="192"/>
      <c r="M41" s="192"/>
      <c r="N41" s="192"/>
      <c r="O41" s="192"/>
      <c r="P41" s="192"/>
    </row>
    <row r="42" spans="2:16" x14ac:dyDescent="0.2">
      <c r="B42" s="121">
        <v>17.8</v>
      </c>
      <c r="C42" s="121"/>
      <c r="D42" s="121" t="str">
        <f t="shared" si="0"/>
        <v/>
      </c>
      <c r="E42" s="190" t="str">
        <f t="shared" si="1"/>
        <v/>
      </c>
      <c r="G42" s="121">
        <v>10.199999999999999</v>
      </c>
      <c r="H42" s="121"/>
      <c r="I42" s="121" t="str">
        <f t="shared" si="2"/>
        <v/>
      </c>
      <c r="J42" s="190" t="str">
        <f t="shared" si="3"/>
        <v/>
      </c>
      <c r="L42" s="192"/>
      <c r="M42" s="192"/>
      <c r="N42" s="192"/>
      <c r="O42" s="192"/>
      <c r="P42" s="192"/>
    </row>
    <row r="43" spans="2:16" x14ac:dyDescent="0.2">
      <c r="B43" s="120">
        <v>17.899999999999999</v>
      </c>
      <c r="C43" s="120"/>
      <c r="D43" s="120" t="str">
        <f t="shared" si="0"/>
        <v/>
      </c>
      <c r="E43" s="191" t="str">
        <f t="shared" si="1"/>
        <v/>
      </c>
      <c r="G43" s="120">
        <v>10.3</v>
      </c>
      <c r="H43" s="120"/>
      <c r="I43" s="120" t="str">
        <f t="shared" si="2"/>
        <v/>
      </c>
      <c r="J43" s="191" t="str">
        <f t="shared" si="3"/>
        <v/>
      </c>
      <c r="L43" s="192"/>
      <c r="M43" s="192"/>
      <c r="N43" s="192"/>
      <c r="O43" s="192"/>
      <c r="P43" s="192"/>
    </row>
    <row r="44" spans="2:16" x14ac:dyDescent="0.2">
      <c r="B44" s="121">
        <v>19.100000000000001</v>
      </c>
      <c r="C44" s="121" t="s">
        <v>314</v>
      </c>
      <c r="D44" s="121" t="str">
        <f t="shared" si="0"/>
        <v>5</v>
      </c>
      <c r="E44" s="190" t="str">
        <f t="shared" si="1"/>
        <v>5</v>
      </c>
      <c r="G44" s="121">
        <v>11.1</v>
      </c>
      <c r="H44" s="121" t="s">
        <v>314</v>
      </c>
      <c r="I44" s="121" t="str">
        <f t="shared" si="2"/>
        <v>5</v>
      </c>
      <c r="J44" s="190" t="str">
        <f t="shared" si="3"/>
        <v>5</v>
      </c>
      <c r="L44" s="192"/>
      <c r="M44" s="192"/>
      <c r="N44" s="192"/>
      <c r="O44" s="192"/>
      <c r="P44" s="192"/>
    </row>
    <row r="45" spans="2:16" x14ac:dyDescent="0.2">
      <c r="B45" s="120">
        <v>19.3</v>
      </c>
      <c r="C45" s="120"/>
      <c r="D45" s="120" t="str">
        <f t="shared" si="0"/>
        <v/>
      </c>
      <c r="E45" s="191" t="str">
        <f t="shared" si="1"/>
        <v/>
      </c>
      <c r="G45" s="120">
        <v>11.2</v>
      </c>
      <c r="H45" s="120"/>
      <c r="I45" s="120" t="str">
        <f t="shared" si="2"/>
        <v/>
      </c>
      <c r="J45" s="191" t="str">
        <f t="shared" si="3"/>
        <v/>
      </c>
      <c r="L45" s="192"/>
      <c r="M45" s="192"/>
      <c r="N45" s="192"/>
      <c r="O45" s="192"/>
      <c r="P45" s="192"/>
    </row>
    <row r="46" spans="2:16" x14ac:dyDescent="0.2">
      <c r="B46" s="121">
        <v>19.5</v>
      </c>
      <c r="C46" s="121" t="s">
        <v>319</v>
      </c>
      <c r="D46" s="121" t="str">
        <f t="shared" si="0"/>
        <v>3</v>
      </c>
      <c r="E46" s="190" t="str">
        <f t="shared" si="1"/>
        <v>3</v>
      </c>
      <c r="G46" s="121">
        <v>11.3</v>
      </c>
      <c r="H46" s="121" t="s">
        <v>319</v>
      </c>
      <c r="I46" s="121" t="str">
        <f t="shared" si="2"/>
        <v>3</v>
      </c>
      <c r="J46" s="190" t="str">
        <f t="shared" si="3"/>
        <v>3</v>
      </c>
      <c r="L46" s="192"/>
      <c r="M46" s="192"/>
      <c r="N46" s="192"/>
      <c r="O46" s="192"/>
      <c r="P46" s="192"/>
    </row>
    <row r="47" spans="2:16" ht="13.5" thickBot="1" x14ac:dyDescent="0.25">
      <c r="B47" s="122">
        <v>19.600000000000001</v>
      </c>
      <c r="C47" s="122"/>
      <c r="D47" s="122" t="str">
        <f t="shared" si="0"/>
        <v/>
      </c>
      <c r="E47" s="194" t="str">
        <f t="shared" si="1"/>
        <v/>
      </c>
      <c r="G47" s="120">
        <v>11.4</v>
      </c>
      <c r="H47" s="121" t="s">
        <v>319</v>
      </c>
      <c r="I47" s="120" t="str">
        <f t="shared" si="2"/>
        <v>3</v>
      </c>
      <c r="J47" s="191" t="str">
        <f t="shared" si="3"/>
        <v>3</v>
      </c>
      <c r="L47" s="192"/>
      <c r="M47" s="192"/>
      <c r="N47" s="192"/>
      <c r="O47" s="192"/>
      <c r="P47" s="192"/>
    </row>
    <row r="48" spans="2:16" x14ac:dyDescent="0.2">
      <c r="G48" s="121">
        <v>12.1</v>
      </c>
      <c r="H48" s="120" t="s">
        <v>328</v>
      </c>
      <c r="I48" s="121" t="str">
        <f t="shared" si="2"/>
        <v>2</v>
      </c>
      <c r="J48" s="190" t="str">
        <f t="shared" si="3"/>
        <v>2</v>
      </c>
      <c r="L48" s="192"/>
      <c r="M48" s="192"/>
      <c r="N48" s="192"/>
      <c r="O48" s="192"/>
      <c r="P48" s="192"/>
    </row>
    <row r="49" spans="7:16" x14ac:dyDescent="0.2">
      <c r="G49" s="120">
        <v>14.1</v>
      </c>
      <c r="H49" s="121" t="s">
        <v>324</v>
      </c>
      <c r="I49" s="120" t="str">
        <f t="shared" si="2"/>
        <v>4</v>
      </c>
      <c r="J49" s="191" t="str">
        <f t="shared" si="3"/>
        <v>4</v>
      </c>
      <c r="L49" s="192"/>
      <c r="M49" s="192"/>
      <c r="N49" s="192"/>
      <c r="O49" s="192"/>
      <c r="P49" s="192"/>
    </row>
    <row r="50" spans="7:16" x14ac:dyDescent="0.2">
      <c r="G50" s="121">
        <v>14.2</v>
      </c>
      <c r="H50" s="120" t="s">
        <v>324</v>
      </c>
      <c r="I50" s="121" t="str">
        <f t="shared" si="2"/>
        <v>4</v>
      </c>
      <c r="J50" s="190" t="str">
        <f t="shared" si="3"/>
        <v>4</v>
      </c>
      <c r="L50" s="192"/>
      <c r="M50" s="192"/>
      <c r="N50" s="192"/>
      <c r="O50" s="192"/>
      <c r="P50" s="192"/>
    </row>
    <row r="51" spans="7:16" x14ac:dyDescent="0.2">
      <c r="G51" s="120">
        <v>14.3</v>
      </c>
      <c r="H51" s="121" t="s">
        <v>328</v>
      </c>
      <c r="I51" s="120" t="str">
        <f t="shared" si="2"/>
        <v>2</v>
      </c>
      <c r="J51" s="191" t="str">
        <f t="shared" si="3"/>
        <v>2</v>
      </c>
      <c r="L51" s="192"/>
      <c r="M51" s="192"/>
      <c r="N51" s="192"/>
      <c r="O51" s="192"/>
      <c r="P51" s="192"/>
    </row>
    <row r="52" spans="7:16" x14ac:dyDescent="0.2">
      <c r="G52" s="121">
        <v>14.4</v>
      </c>
      <c r="H52" s="120" t="s">
        <v>328</v>
      </c>
      <c r="I52" s="121" t="str">
        <f t="shared" si="2"/>
        <v>2</v>
      </c>
      <c r="J52" s="190" t="str">
        <f t="shared" si="3"/>
        <v>2</v>
      </c>
    </row>
    <row r="53" spans="7:16" x14ac:dyDescent="0.2">
      <c r="G53" s="120">
        <v>14.5</v>
      </c>
      <c r="H53" s="121" t="s">
        <v>314</v>
      </c>
      <c r="I53" s="120" t="str">
        <f t="shared" si="2"/>
        <v>5</v>
      </c>
      <c r="J53" s="191" t="str">
        <f t="shared" si="3"/>
        <v>5</v>
      </c>
    </row>
    <row r="54" spans="7:16" x14ac:dyDescent="0.2">
      <c r="G54" s="121">
        <v>14.6</v>
      </c>
      <c r="H54" s="120" t="s">
        <v>324</v>
      </c>
      <c r="I54" s="121" t="str">
        <f t="shared" si="2"/>
        <v>4</v>
      </c>
      <c r="J54" s="190" t="str">
        <f t="shared" ref="J54:J57" si="4">I54</f>
        <v>4</v>
      </c>
    </row>
    <row r="55" spans="7:16" x14ac:dyDescent="0.2">
      <c r="G55" s="120">
        <v>14.7</v>
      </c>
      <c r="H55" s="121" t="s">
        <v>328</v>
      </c>
      <c r="I55" s="120" t="str">
        <f t="shared" si="2"/>
        <v>2</v>
      </c>
      <c r="J55" s="191" t="str">
        <f t="shared" si="4"/>
        <v>2</v>
      </c>
    </row>
    <row r="56" spans="7:16" x14ac:dyDescent="0.2">
      <c r="G56" s="121">
        <v>14.8</v>
      </c>
      <c r="H56" s="120" t="s">
        <v>328</v>
      </c>
      <c r="I56" s="121" t="str">
        <f t="shared" si="2"/>
        <v>2</v>
      </c>
      <c r="J56" s="190" t="str">
        <f t="shared" si="4"/>
        <v>2</v>
      </c>
    </row>
    <row r="57" spans="7:16" x14ac:dyDescent="0.2">
      <c r="G57" s="120">
        <v>15.1</v>
      </c>
      <c r="H57" s="121" t="s">
        <v>314</v>
      </c>
      <c r="I57" s="120" t="str">
        <f t="shared" si="2"/>
        <v>5</v>
      </c>
      <c r="J57" s="191" t="str">
        <f t="shared" si="4"/>
        <v>5</v>
      </c>
    </row>
    <row r="58" spans="7:16" x14ac:dyDescent="0.2">
      <c r="G58" s="121">
        <v>17.100000000000001</v>
      </c>
      <c r="H58" s="121"/>
      <c r="I58" s="121" t="str">
        <f t="shared" si="2"/>
        <v/>
      </c>
      <c r="J58" s="190" t="str">
        <f t="shared" si="3"/>
        <v/>
      </c>
    </row>
    <row r="59" spans="7:16" x14ac:dyDescent="0.2">
      <c r="G59" s="120">
        <v>17.2</v>
      </c>
      <c r="H59" s="120"/>
      <c r="I59" s="120" t="str">
        <f t="shared" si="2"/>
        <v/>
      </c>
      <c r="J59" s="191" t="str">
        <f t="shared" si="3"/>
        <v/>
      </c>
    </row>
    <row r="60" spans="7:16" ht="13.5" thickBot="1" x14ac:dyDescent="0.25">
      <c r="G60" s="124">
        <v>17.3</v>
      </c>
      <c r="H60" s="124"/>
      <c r="I60" s="124" t="str">
        <f t="shared" si="2"/>
        <v/>
      </c>
      <c r="J60" s="195" t="str">
        <f t="shared" si="3"/>
        <v/>
      </c>
    </row>
  </sheetData>
  <sheetProtection sheet="1" objects="1" scenarios="1"/>
  <mergeCells count="4">
    <mergeCell ref="G3:J3"/>
    <mergeCell ref="B3:E3"/>
    <mergeCell ref="B1:J1"/>
    <mergeCell ref="L4:T1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2799-EC7E-416B-9FDA-448DADB2F2DE}">
  <sheetPr>
    <tabColor rgb="FFFF0000"/>
  </sheetPr>
  <dimension ref="B1:X69"/>
  <sheetViews>
    <sheetView showGridLines="0" workbookViewId="0">
      <selection activeCell="B1" sqref="B1:W1"/>
    </sheetView>
  </sheetViews>
  <sheetFormatPr defaultColWidth="9.140625" defaultRowHeight="12.75" x14ac:dyDescent="0.2"/>
  <cols>
    <col min="1" max="1" width="9.140625" style="2"/>
    <col min="2" max="2" width="19" style="20" customWidth="1"/>
    <col min="3" max="3" width="23.140625" style="2" bestFit="1" customWidth="1"/>
    <col min="4" max="4" width="29.7109375" style="2" bestFit="1" customWidth="1"/>
    <col min="5" max="5" width="27.42578125" style="2" bestFit="1" customWidth="1"/>
    <col min="6" max="6" width="25.7109375" style="2" bestFit="1" customWidth="1"/>
    <col min="7" max="7" width="18.140625" style="2" customWidth="1"/>
    <col min="8" max="8" width="20.42578125" style="2" bestFit="1" customWidth="1"/>
    <col min="9" max="9" width="18.28515625" style="2" bestFit="1" customWidth="1"/>
    <col min="10" max="10" width="16.42578125" style="2" bestFit="1" customWidth="1"/>
    <col min="11" max="11" width="22" style="2" bestFit="1" customWidth="1"/>
    <col min="12" max="12" width="22" style="2" customWidth="1"/>
    <col min="13" max="13" width="9.140625" style="2"/>
    <col min="14" max="14" width="25" style="89" customWidth="1"/>
    <col min="15" max="15" width="23.140625" style="2" bestFit="1" customWidth="1"/>
    <col min="16" max="16" width="29.7109375" style="2" bestFit="1" customWidth="1"/>
    <col min="17" max="17" width="27.42578125" style="2" bestFit="1" customWidth="1"/>
    <col min="18" max="18" width="25.7109375" style="2" bestFit="1" customWidth="1"/>
    <col min="19" max="19" width="14" style="2" bestFit="1" customWidth="1"/>
    <col min="20" max="20" width="20.42578125" style="2" bestFit="1" customWidth="1"/>
    <col min="21" max="21" width="18.28515625" style="2" bestFit="1" customWidth="1"/>
    <col min="22" max="22" width="16.42578125" style="2" bestFit="1" customWidth="1"/>
    <col min="23" max="23" width="22" style="2" bestFit="1" customWidth="1"/>
    <col min="24" max="24" width="22" style="2" customWidth="1"/>
    <col min="25" max="16384" width="9.140625" style="2"/>
  </cols>
  <sheetData>
    <row r="1" spans="2:24" ht="67.5" customHeight="1" thickBot="1" x14ac:dyDescent="0.25">
      <c r="B1" s="317" t="s">
        <v>302</v>
      </c>
      <c r="C1" s="318"/>
      <c r="D1" s="318"/>
      <c r="E1" s="318"/>
      <c r="F1" s="318"/>
      <c r="G1" s="318"/>
      <c r="H1" s="318"/>
      <c r="I1" s="318"/>
      <c r="J1" s="318"/>
      <c r="K1" s="318"/>
      <c r="L1" s="318"/>
      <c r="M1" s="318"/>
      <c r="N1" s="318"/>
      <c r="O1" s="318"/>
      <c r="P1" s="318"/>
      <c r="Q1" s="318"/>
      <c r="R1" s="318"/>
      <c r="S1" s="318"/>
      <c r="T1" s="318"/>
      <c r="U1" s="318"/>
      <c r="V1" s="318"/>
      <c r="W1" s="318"/>
      <c r="X1" s="85"/>
    </row>
    <row r="2" spans="2:24" ht="13.5" thickBot="1" x14ac:dyDescent="0.25"/>
    <row r="3" spans="2:24" ht="26.25" customHeight="1" thickTop="1" x14ac:dyDescent="0.2">
      <c r="B3" s="73" t="s">
        <v>340</v>
      </c>
      <c r="C3" s="74" t="s">
        <v>310</v>
      </c>
      <c r="D3" s="74" t="s">
        <v>311</v>
      </c>
      <c r="E3" s="74" t="s">
        <v>312</v>
      </c>
      <c r="F3" s="75" t="s">
        <v>313</v>
      </c>
      <c r="G3" s="76" t="s">
        <v>340</v>
      </c>
      <c r="I3" s="308" t="s">
        <v>365</v>
      </c>
      <c r="J3" s="308"/>
      <c r="K3" s="308"/>
      <c r="L3" s="308"/>
      <c r="M3" s="308"/>
      <c r="N3" s="308"/>
      <c r="O3" s="308"/>
    </row>
    <row r="4" spans="2:24" ht="12.75" customHeight="1" x14ac:dyDescent="0.2">
      <c r="B4" s="77">
        <v>1</v>
      </c>
      <c r="C4" s="81" t="s">
        <v>333</v>
      </c>
      <c r="D4" s="81" t="s">
        <v>334</v>
      </c>
      <c r="E4" s="81" t="s">
        <v>337</v>
      </c>
      <c r="F4" s="82" t="s">
        <v>335</v>
      </c>
      <c r="G4" s="78">
        <v>1</v>
      </c>
      <c r="I4" s="308"/>
      <c r="J4" s="308"/>
      <c r="K4" s="308"/>
      <c r="L4" s="308"/>
      <c r="M4" s="308"/>
      <c r="N4" s="308"/>
      <c r="O4" s="308"/>
    </row>
    <row r="5" spans="2:24" ht="12.75" customHeight="1" x14ac:dyDescent="0.2">
      <c r="B5" s="77">
        <v>2</v>
      </c>
      <c r="C5" s="81" t="s">
        <v>329</v>
      </c>
      <c r="D5" s="81" t="s">
        <v>330</v>
      </c>
      <c r="E5" s="81" t="s">
        <v>331</v>
      </c>
      <c r="F5" s="82" t="s">
        <v>341</v>
      </c>
      <c r="G5" s="78">
        <v>2</v>
      </c>
      <c r="I5" s="308"/>
      <c r="J5" s="308"/>
      <c r="K5" s="308"/>
      <c r="L5" s="308"/>
      <c r="M5" s="308"/>
      <c r="N5" s="308"/>
      <c r="O5" s="308"/>
    </row>
    <row r="6" spans="2:24" ht="12.75" customHeight="1" x14ac:dyDescent="0.2">
      <c r="B6" s="77">
        <v>3</v>
      </c>
      <c r="C6" s="81" t="s">
        <v>320</v>
      </c>
      <c r="D6" s="81" t="s">
        <v>321</v>
      </c>
      <c r="E6" s="81" t="s">
        <v>322</v>
      </c>
      <c r="F6" s="82" t="s">
        <v>318</v>
      </c>
      <c r="G6" s="78">
        <v>3</v>
      </c>
      <c r="I6" s="308"/>
      <c r="J6" s="308"/>
      <c r="K6" s="308"/>
      <c r="L6" s="308"/>
      <c r="M6" s="308"/>
      <c r="N6" s="308"/>
      <c r="O6" s="308"/>
    </row>
    <row r="7" spans="2:24" ht="12.75" customHeight="1" x14ac:dyDescent="0.2">
      <c r="B7" s="77">
        <v>4</v>
      </c>
      <c r="C7" s="81" t="s">
        <v>338</v>
      </c>
      <c r="D7" s="81" t="s">
        <v>316</v>
      </c>
      <c r="E7" s="81" t="s">
        <v>327</v>
      </c>
      <c r="F7" s="82" t="s">
        <v>323</v>
      </c>
      <c r="G7" s="78">
        <v>4</v>
      </c>
      <c r="I7" s="308"/>
      <c r="J7" s="308"/>
      <c r="K7" s="308"/>
      <c r="L7" s="308"/>
      <c r="M7" s="308"/>
      <c r="N7" s="308"/>
      <c r="O7" s="308"/>
    </row>
    <row r="8" spans="2:24" ht="12.75" customHeight="1" x14ac:dyDescent="0.2">
      <c r="B8" s="77">
        <v>5</v>
      </c>
      <c r="C8" s="81" t="s">
        <v>315</v>
      </c>
      <c r="D8" s="81" t="s">
        <v>325</v>
      </c>
      <c r="E8" s="81" t="s">
        <v>317</v>
      </c>
      <c r="F8" s="82" t="s">
        <v>326</v>
      </c>
      <c r="G8" s="78">
        <v>5</v>
      </c>
      <c r="I8" s="308"/>
      <c r="J8" s="308"/>
      <c r="K8" s="308"/>
      <c r="L8" s="308"/>
      <c r="M8" s="308"/>
      <c r="N8" s="308"/>
      <c r="O8" s="308"/>
    </row>
    <row r="9" spans="2:24" ht="25.5" customHeight="1" x14ac:dyDescent="0.2">
      <c r="B9" s="77" t="s">
        <v>342</v>
      </c>
      <c r="C9" s="81" t="s">
        <v>339</v>
      </c>
      <c r="D9" s="81" t="s">
        <v>339</v>
      </c>
      <c r="E9" s="81" t="s">
        <v>339</v>
      </c>
      <c r="F9" s="82" t="s">
        <v>339</v>
      </c>
      <c r="G9" s="78" t="s">
        <v>342</v>
      </c>
      <c r="I9" s="308"/>
      <c r="J9" s="308"/>
      <c r="K9" s="308"/>
      <c r="L9" s="308"/>
      <c r="M9" s="308"/>
      <c r="N9" s="308"/>
      <c r="O9" s="308"/>
    </row>
    <row r="10" spans="2:24" ht="13.5" thickBot="1" x14ac:dyDescent="0.25">
      <c r="B10" s="79" t="s">
        <v>343</v>
      </c>
      <c r="C10" s="83" t="s">
        <v>332</v>
      </c>
      <c r="D10" s="83" t="s">
        <v>332</v>
      </c>
      <c r="E10" s="83" t="s">
        <v>332</v>
      </c>
      <c r="F10" s="84" t="s">
        <v>332</v>
      </c>
      <c r="G10" s="80" t="s">
        <v>343</v>
      </c>
      <c r="N10" s="197"/>
    </row>
    <row r="11" spans="2:24" ht="13.5" thickTop="1" x14ac:dyDescent="0.2">
      <c r="N11" s="197"/>
    </row>
    <row r="12" spans="2:24" s="55" customFormat="1" ht="39" customHeight="1" thickBot="1" x14ac:dyDescent="0.3">
      <c r="B12" s="199" t="s">
        <v>303</v>
      </c>
      <c r="C12" s="316" t="s">
        <v>344</v>
      </c>
      <c r="D12" s="319"/>
      <c r="E12" s="319"/>
      <c r="F12" s="320"/>
      <c r="G12" s="321" t="s">
        <v>304</v>
      </c>
      <c r="H12" s="319"/>
      <c r="I12" s="319"/>
      <c r="J12" s="319"/>
      <c r="K12" s="322" t="s">
        <v>350</v>
      </c>
      <c r="L12" s="322" t="s">
        <v>351</v>
      </c>
      <c r="N12" s="199" t="s">
        <v>305</v>
      </c>
      <c r="O12" s="316" t="s">
        <v>344</v>
      </c>
      <c r="P12" s="319"/>
      <c r="Q12" s="319"/>
      <c r="R12" s="320"/>
      <c r="S12" s="321" t="s">
        <v>304</v>
      </c>
      <c r="T12" s="319"/>
      <c r="U12" s="319"/>
      <c r="V12" s="324"/>
      <c r="W12" s="315" t="s">
        <v>350</v>
      </c>
      <c r="X12" s="315" t="s">
        <v>351</v>
      </c>
    </row>
    <row r="13" spans="2:24" s="66" customFormat="1" ht="27" thickTop="1" thickBot="1" x14ac:dyDescent="0.3">
      <c r="B13" s="199" t="s">
        <v>306</v>
      </c>
      <c r="C13" s="67" t="s">
        <v>310</v>
      </c>
      <c r="D13" s="60" t="s">
        <v>311</v>
      </c>
      <c r="E13" s="60" t="s">
        <v>312</v>
      </c>
      <c r="F13" s="60" t="s">
        <v>313</v>
      </c>
      <c r="G13" s="60" t="s">
        <v>310</v>
      </c>
      <c r="H13" s="60" t="s">
        <v>311</v>
      </c>
      <c r="I13" s="60" t="s">
        <v>312</v>
      </c>
      <c r="J13" s="199" t="s">
        <v>313</v>
      </c>
      <c r="K13" s="323"/>
      <c r="L13" s="323"/>
      <c r="N13" s="199" t="s">
        <v>309</v>
      </c>
      <c r="O13" s="67" t="s">
        <v>310</v>
      </c>
      <c r="P13" s="60" t="s">
        <v>311</v>
      </c>
      <c r="Q13" s="60" t="s">
        <v>312</v>
      </c>
      <c r="R13" s="60" t="s">
        <v>313</v>
      </c>
      <c r="S13" s="60" t="s">
        <v>310</v>
      </c>
      <c r="T13" s="60" t="s">
        <v>311</v>
      </c>
      <c r="U13" s="60" t="s">
        <v>312</v>
      </c>
      <c r="V13" s="68" t="s">
        <v>313</v>
      </c>
      <c r="W13" s="316"/>
      <c r="X13" s="316"/>
    </row>
    <row r="14" spans="2:24" ht="13.5" thickTop="1" x14ac:dyDescent="0.2">
      <c r="B14" s="56">
        <v>1.4</v>
      </c>
      <c r="C14" s="56" t="s">
        <v>315</v>
      </c>
      <c r="D14" s="56" t="s">
        <v>316</v>
      </c>
      <c r="E14" s="56" t="s">
        <v>317</v>
      </c>
      <c r="F14" s="56" t="s">
        <v>318</v>
      </c>
      <c r="G14" s="56">
        <f>VLOOKUP(C14,$C$4:$G$10,5,FALSE)</f>
        <v>5</v>
      </c>
      <c r="H14" s="56">
        <f>VLOOKUP(D14,$D$4:$G$10,4,FALSE)</f>
        <v>4</v>
      </c>
      <c r="I14" s="56">
        <f>VLOOKUP(E14,$E$4:$G$10,3,FALSE)</f>
        <v>5</v>
      </c>
      <c r="J14" s="56">
        <f>VLOOKUP(F14,$F$4:$G$10,2,FALSE)</f>
        <v>3</v>
      </c>
      <c r="K14" s="61">
        <f>ROUND(AVERAGE(G14:J14),0)</f>
        <v>4</v>
      </c>
      <c r="L14" s="61">
        <f>K14</f>
        <v>4</v>
      </c>
      <c r="N14" s="69">
        <v>1.1000000000000001</v>
      </c>
      <c r="O14" s="56" t="s">
        <v>315</v>
      </c>
      <c r="P14" s="56" t="s">
        <v>316</v>
      </c>
      <c r="Q14" s="56" t="s">
        <v>317</v>
      </c>
      <c r="R14" s="56" t="s">
        <v>318</v>
      </c>
      <c r="S14" s="69">
        <f>VLOOKUP(O14,$C$4:$G$10,5,FALSE)</f>
        <v>5</v>
      </c>
      <c r="T14" s="69">
        <f>VLOOKUP(P14,$D$4:$G$10,4,FALSE)</f>
        <v>4</v>
      </c>
      <c r="U14" s="69">
        <f>VLOOKUP(Q14,$E$4:$G$10,3,FALSE)</f>
        <v>5</v>
      </c>
      <c r="V14" s="69">
        <f>VLOOKUP(R14,$F$4:$G$10,2,FALSE)</f>
        <v>3</v>
      </c>
      <c r="W14" s="69">
        <f>ROUND(AVERAGE(S14:V14),0)</f>
        <v>4</v>
      </c>
      <c r="X14" s="65">
        <f>W14</f>
        <v>4</v>
      </c>
    </row>
    <row r="15" spans="2:24" x14ac:dyDescent="0.2">
      <c r="B15" s="57">
        <v>1.6</v>
      </c>
      <c r="C15" s="57" t="s">
        <v>320</v>
      </c>
      <c r="D15" s="57" t="s">
        <v>321</v>
      </c>
      <c r="E15" s="57" t="s">
        <v>322</v>
      </c>
      <c r="F15" s="57" t="s">
        <v>323</v>
      </c>
      <c r="G15" s="57">
        <f t="shared" ref="G15:G56" si="0">VLOOKUP(C15,$C$4:$G$10,5,FALSE)</f>
        <v>3</v>
      </c>
      <c r="H15" s="57">
        <f t="shared" ref="H15:H56" si="1">VLOOKUP(D15,$D$4:$G$10,4,FALSE)</f>
        <v>3</v>
      </c>
      <c r="I15" s="57">
        <f t="shared" ref="I15:I56" si="2">VLOOKUP(E15,$E$4:$G$10,3,FALSE)</f>
        <v>3</v>
      </c>
      <c r="J15" s="57">
        <f t="shared" ref="J15:J56" si="3">VLOOKUP(F15,$F$4:$G$10,2,FALSE)</f>
        <v>4</v>
      </c>
      <c r="K15" s="62">
        <f t="shared" ref="K15:K56" si="4">ROUND(AVERAGE(G15:J15),0)</f>
        <v>3</v>
      </c>
      <c r="L15" s="62">
        <f t="shared" ref="L15:L56" si="5">K15</f>
        <v>3</v>
      </c>
      <c r="N15" s="57">
        <v>1.2</v>
      </c>
      <c r="O15" s="57" t="s">
        <v>320</v>
      </c>
      <c r="P15" s="57" t="s">
        <v>321</v>
      </c>
      <c r="Q15" s="57" t="s">
        <v>322</v>
      </c>
      <c r="R15" s="57" t="s">
        <v>323</v>
      </c>
      <c r="S15" s="57">
        <f t="shared" ref="S15:S69" si="6">VLOOKUP(O15,$C$4:$G$10,5,FALSE)</f>
        <v>3</v>
      </c>
      <c r="T15" s="57">
        <f t="shared" ref="T15:T69" si="7">VLOOKUP(P15,$D$4:$G$10,4,FALSE)</f>
        <v>3</v>
      </c>
      <c r="U15" s="57">
        <f t="shared" ref="U15:U69" si="8">VLOOKUP(Q15,$E$4:$G$10,3,FALSE)</f>
        <v>3</v>
      </c>
      <c r="V15" s="57">
        <f t="shared" ref="V15:V69" si="9">VLOOKUP(R15,$F$4:$G$10,2,FALSE)</f>
        <v>4</v>
      </c>
      <c r="W15" s="57">
        <f t="shared" ref="W15:W69" si="10">ROUND(AVERAGE(S15:V15),0)</f>
        <v>3</v>
      </c>
      <c r="X15" s="62">
        <f t="shared" ref="X15:X69" si="11">W15</f>
        <v>3</v>
      </c>
    </row>
    <row r="16" spans="2:24" x14ac:dyDescent="0.2">
      <c r="B16" s="56">
        <v>2.1</v>
      </c>
      <c r="C16" s="56" t="s">
        <v>315</v>
      </c>
      <c r="D16" s="56" t="s">
        <v>325</v>
      </c>
      <c r="E16" s="56" t="s">
        <v>317</v>
      </c>
      <c r="F16" s="56" t="s">
        <v>326</v>
      </c>
      <c r="G16" s="56">
        <f t="shared" si="0"/>
        <v>5</v>
      </c>
      <c r="H16" s="56">
        <f t="shared" si="1"/>
        <v>5</v>
      </c>
      <c r="I16" s="56">
        <f t="shared" si="2"/>
        <v>5</v>
      </c>
      <c r="J16" s="56">
        <f t="shared" si="3"/>
        <v>5</v>
      </c>
      <c r="K16" s="61">
        <f t="shared" si="4"/>
        <v>5</v>
      </c>
      <c r="L16" s="61">
        <f t="shared" si="5"/>
        <v>5</v>
      </c>
      <c r="N16" s="56">
        <v>2.1</v>
      </c>
      <c r="O16" s="56" t="s">
        <v>315</v>
      </c>
      <c r="P16" s="56" t="s">
        <v>325</v>
      </c>
      <c r="Q16" s="56" t="s">
        <v>317</v>
      </c>
      <c r="R16" s="56" t="s">
        <v>326</v>
      </c>
      <c r="S16" s="56">
        <f t="shared" si="6"/>
        <v>5</v>
      </c>
      <c r="T16" s="56">
        <f t="shared" si="7"/>
        <v>5</v>
      </c>
      <c r="U16" s="56">
        <f t="shared" si="8"/>
        <v>5</v>
      </c>
      <c r="V16" s="56">
        <f t="shared" si="9"/>
        <v>5</v>
      </c>
      <c r="W16" s="56">
        <f t="shared" si="10"/>
        <v>5</v>
      </c>
      <c r="X16" s="61">
        <f t="shared" si="11"/>
        <v>5</v>
      </c>
    </row>
    <row r="17" spans="2:24" x14ac:dyDescent="0.2">
      <c r="B17" s="57">
        <v>2.2000000000000002</v>
      </c>
      <c r="C17" s="57" t="s">
        <v>320</v>
      </c>
      <c r="D17" s="57" t="s">
        <v>321</v>
      </c>
      <c r="E17" s="57" t="s">
        <v>327</v>
      </c>
      <c r="F17" s="57" t="s">
        <v>326</v>
      </c>
      <c r="G17" s="57">
        <f t="shared" si="0"/>
        <v>3</v>
      </c>
      <c r="H17" s="57">
        <f t="shared" si="1"/>
        <v>3</v>
      </c>
      <c r="I17" s="57">
        <f t="shared" si="2"/>
        <v>4</v>
      </c>
      <c r="J17" s="57">
        <f t="shared" si="3"/>
        <v>5</v>
      </c>
      <c r="K17" s="62">
        <f t="shared" si="4"/>
        <v>4</v>
      </c>
      <c r="L17" s="62">
        <f t="shared" si="5"/>
        <v>4</v>
      </c>
      <c r="N17" s="57">
        <v>2.2000000000000002</v>
      </c>
      <c r="O17" s="57" t="s">
        <v>320</v>
      </c>
      <c r="P17" s="57" t="s">
        <v>321</v>
      </c>
      <c r="Q17" s="57" t="s">
        <v>327</v>
      </c>
      <c r="R17" s="57" t="s">
        <v>326</v>
      </c>
      <c r="S17" s="57">
        <f t="shared" si="6"/>
        <v>3</v>
      </c>
      <c r="T17" s="57">
        <f t="shared" si="7"/>
        <v>3</v>
      </c>
      <c r="U17" s="57">
        <f t="shared" si="8"/>
        <v>4</v>
      </c>
      <c r="V17" s="57">
        <f t="shared" si="9"/>
        <v>5</v>
      </c>
      <c r="W17" s="57">
        <f t="shared" si="10"/>
        <v>4</v>
      </c>
      <c r="X17" s="62">
        <f t="shared" si="11"/>
        <v>4</v>
      </c>
    </row>
    <row r="18" spans="2:24" x14ac:dyDescent="0.2">
      <c r="B18" s="56">
        <v>2.6</v>
      </c>
      <c r="C18" s="56" t="s">
        <v>329</v>
      </c>
      <c r="D18" s="56" t="s">
        <v>330</v>
      </c>
      <c r="E18" s="56" t="s">
        <v>331</v>
      </c>
      <c r="F18" s="56" t="s">
        <v>318</v>
      </c>
      <c r="G18" s="56">
        <f t="shared" si="0"/>
        <v>2</v>
      </c>
      <c r="H18" s="56">
        <f t="shared" si="1"/>
        <v>2</v>
      </c>
      <c r="I18" s="56">
        <f t="shared" si="2"/>
        <v>2</v>
      </c>
      <c r="J18" s="56">
        <f t="shared" si="3"/>
        <v>3</v>
      </c>
      <c r="K18" s="61">
        <f t="shared" si="4"/>
        <v>2</v>
      </c>
      <c r="L18" s="61">
        <f t="shared" si="5"/>
        <v>2</v>
      </c>
      <c r="N18" s="56">
        <v>2.2999999999999998</v>
      </c>
      <c r="O18" s="56" t="s">
        <v>329</v>
      </c>
      <c r="P18" s="56" t="s">
        <v>330</v>
      </c>
      <c r="Q18" s="56" t="s">
        <v>331</v>
      </c>
      <c r="R18" s="56" t="s">
        <v>318</v>
      </c>
      <c r="S18" s="56">
        <f t="shared" si="6"/>
        <v>2</v>
      </c>
      <c r="T18" s="56">
        <f t="shared" si="7"/>
        <v>2</v>
      </c>
      <c r="U18" s="56">
        <f t="shared" si="8"/>
        <v>2</v>
      </c>
      <c r="V18" s="56">
        <f t="shared" si="9"/>
        <v>3</v>
      </c>
      <c r="W18" s="56">
        <f t="shared" si="10"/>
        <v>2</v>
      </c>
      <c r="X18" s="61">
        <f t="shared" si="11"/>
        <v>2</v>
      </c>
    </row>
    <row r="19" spans="2:24" x14ac:dyDescent="0.2">
      <c r="B19" s="57">
        <v>3.4</v>
      </c>
      <c r="C19" s="57" t="s">
        <v>320</v>
      </c>
      <c r="D19" s="57" t="s">
        <v>321</v>
      </c>
      <c r="E19" s="57" t="s">
        <v>322</v>
      </c>
      <c r="F19" s="57" t="s">
        <v>323</v>
      </c>
      <c r="G19" s="57">
        <f t="shared" si="0"/>
        <v>3</v>
      </c>
      <c r="H19" s="57">
        <f t="shared" si="1"/>
        <v>3</v>
      </c>
      <c r="I19" s="57">
        <f t="shared" si="2"/>
        <v>3</v>
      </c>
      <c r="J19" s="57">
        <f t="shared" si="3"/>
        <v>4</v>
      </c>
      <c r="K19" s="62">
        <f t="shared" si="4"/>
        <v>3</v>
      </c>
      <c r="L19" s="62">
        <f t="shared" si="5"/>
        <v>3</v>
      </c>
      <c r="N19" s="57">
        <v>3.1</v>
      </c>
      <c r="O19" s="57" t="s">
        <v>320</v>
      </c>
      <c r="P19" s="57" t="s">
        <v>321</v>
      </c>
      <c r="Q19" s="57" t="s">
        <v>322</v>
      </c>
      <c r="R19" s="57" t="s">
        <v>323</v>
      </c>
      <c r="S19" s="57">
        <f t="shared" si="6"/>
        <v>3</v>
      </c>
      <c r="T19" s="57">
        <f t="shared" si="7"/>
        <v>3</v>
      </c>
      <c r="U19" s="57">
        <f t="shared" si="8"/>
        <v>3</v>
      </c>
      <c r="V19" s="57">
        <f t="shared" si="9"/>
        <v>4</v>
      </c>
      <c r="W19" s="57">
        <f t="shared" si="10"/>
        <v>3</v>
      </c>
      <c r="X19" s="62">
        <f t="shared" si="11"/>
        <v>3</v>
      </c>
    </row>
    <row r="20" spans="2:24" x14ac:dyDescent="0.2">
      <c r="B20" s="56">
        <v>3.5</v>
      </c>
      <c r="C20" s="56" t="s">
        <v>320</v>
      </c>
      <c r="D20" s="56" t="s">
        <v>321</v>
      </c>
      <c r="E20" s="56" t="s">
        <v>322</v>
      </c>
      <c r="F20" s="56" t="s">
        <v>318</v>
      </c>
      <c r="G20" s="56">
        <f t="shared" si="0"/>
        <v>3</v>
      </c>
      <c r="H20" s="56">
        <f t="shared" si="1"/>
        <v>3</v>
      </c>
      <c r="I20" s="56">
        <f t="shared" si="2"/>
        <v>3</v>
      </c>
      <c r="J20" s="56">
        <f t="shared" si="3"/>
        <v>3</v>
      </c>
      <c r="K20" s="61">
        <f t="shared" si="4"/>
        <v>3</v>
      </c>
      <c r="L20" s="61">
        <f t="shared" si="5"/>
        <v>3</v>
      </c>
      <c r="N20" s="56">
        <v>3.2</v>
      </c>
      <c r="O20" s="56" t="s">
        <v>320</v>
      </c>
      <c r="P20" s="56" t="s">
        <v>321</v>
      </c>
      <c r="Q20" s="56" t="s">
        <v>322</v>
      </c>
      <c r="R20" s="56" t="s">
        <v>318</v>
      </c>
      <c r="S20" s="56">
        <f t="shared" si="6"/>
        <v>3</v>
      </c>
      <c r="T20" s="56">
        <f t="shared" si="7"/>
        <v>3</v>
      </c>
      <c r="U20" s="56">
        <f t="shared" si="8"/>
        <v>3</v>
      </c>
      <c r="V20" s="56">
        <f t="shared" si="9"/>
        <v>3</v>
      </c>
      <c r="W20" s="56">
        <f t="shared" si="10"/>
        <v>3</v>
      </c>
      <c r="X20" s="61">
        <f t="shared" si="11"/>
        <v>3</v>
      </c>
    </row>
    <row r="21" spans="2:24" x14ac:dyDescent="0.2">
      <c r="B21" s="57">
        <v>4.2</v>
      </c>
      <c r="C21" s="57" t="s">
        <v>320</v>
      </c>
      <c r="D21" s="57" t="s">
        <v>325</v>
      </c>
      <c r="E21" s="57" t="s">
        <v>322</v>
      </c>
      <c r="F21" s="57" t="s">
        <v>323</v>
      </c>
      <c r="G21" s="57">
        <f t="shared" si="0"/>
        <v>3</v>
      </c>
      <c r="H21" s="57">
        <f t="shared" si="1"/>
        <v>5</v>
      </c>
      <c r="I21" s="57">
        <f t="shared" si="2"/>
        <v>3</v>
      </c>
      <c r="J21" s="57">
        <f t="shared" si="3"/>
        <v>4</v>
      </c>
      <c r="K21" s="62">
        <f t="shared" si="4"/>
        <v>4</v>
      </c>
      <c r="L21" s="62">
        <f t="shared" si="5"/>
        <v>4</v>
      </c>
      <c r="N21" s="57">
        <v>3.3</v>
      </c>
      <c r="O21" s="57" t="s">
        <v>320</v>
      </c>
      <c r="P21" s="57" t="s">
        <v>325</v>
      </c>
      <c r="Q21" s="57" t="s">
        <v>322</v>
      </c>
      <c r="R21" s="57" t="s">
        <v>323</v>
      </c>
      <c r="S21" s="57">
        <f t="shared" si="6"/>
        <v>3</v>
      </c>
      <c r="T21" s="57">
        <f t="shared" si="7"/>
        <v>5</v>
      </c>
      <c r="U21" s="57">
        <f t="shared" si="8"/>
        <v>3</v>
      </c>
      <c r="V21" s="57">
        <f t="shared" si="9"/>
        <v>4</v>
      </c>
      <c r="W21" s="57">
        <f t="shared" si="10"/>
        <v>4</v>
      </c>
      <c r="X21" s="62">
        <f t="shared" si="11"/>
        <v>4</v>
      </c>
    </row>
    <row r="22" spans="2:24" x14ac:dyDescent="0.2">
      <c r="B22" s="56">
        <v>4.3</v>
      </c>
      <c r="C22" s="56" t="s">
        <v>315</v>
      </c>
      <c r="D22" s="56" t="s">
        <v>325</v>
      </c>
      <c r="E22" s="56" t="s">
        <v>317</v>
      </c>
      <c r="F22" s="56" t="s">
        <v>326</v>
      </c>
      <c r="G22" s="56">
        <f t="shared" si="0"/>
        <v>5</v>
      </c>
      <c r="H22" s="56">
        <f t="shared" si="1"/>
        <v>5</v>
      </c>
      <c r="I22" s="56">
        <f t="shared" si="2"/>
        <v>5</v>
      </c>
      <c r="J22" s="56">
        <f t="shared" si="3"/>
        <v>5</v>
      </c>
      <c r="K22" s="61">
        <f t="shared" si="4"/>
        <v>5</v>
      </c>
      <c r="L22" s="61">
        <f t="shared" si="5"/>
        <v>5</v>
      </c>
      <c r="N22" s="56">
        <v>3.4</v>
      </c>
      <c r="O22" s="56" t="s">
        <v>315</v>
      </c>
      <c r="P22" s="56" t="s">
        <v>325</v>
      </c>
      <c r="Q22" s="56" t="s">
        <v>317</v>
      </c>
      <c r="R22" s="56" t="s">
        <v>326</v>
      </c>
      <c r="S22" s="56">
        <f t="shared" si="6"/>
        <v>5</v>
      </c>
      <c r="T22" s="56">
        <f t="shared" si="7"/>
        <v>5</v>
      </c>
      <c r="U22" s="56">
        <f t="shared" si="8"/>
        <v>5</v>
      </c>
      <c r="V22" s="56">
        <f t="shared" si="9"/>
        <v>5</v>
      </c>
      <c r="W22" s="56">
        <f t="shared" si="10"/>
        <v>5</v>
      </c>
      <c r="X22" s="61">
        <f t="shared" si="11"/>
        <v>5</v>
      </c>
    </row>
    <row r="23" spans="2:24" x14ac:dyDescent="0.2">
      <c r="B23" s="57">
        <v>5.0999999999999996</v>
      </c>
      <c r="C23" s="57" t="s">
        <v>315</v>
      </c>
      <c r="D23" s="57" t="s">
        <v>321</v>
      </c>
      <c r="E23" s="57" t="s">
        <v>327</v>
      </c>
      <c r="F23" s="57" t="s">
        <v>326</v>
      </c>
      <c r="G23" s="57">
        <f t="shared" si="0"/>
        <v>5</v>
      </c>
      <c r="H23" s="57">
        <f t="shared" si="1"/>
        <v>3</v>
      </c>
      <c r="I23" s="57">
        <f t="shared" si="2"/>
        <v>4</v>
      </c>
      <c r="J23" s="57">
        <f t="shared" si="3"/>
        <v>5</v>
      </c>
      <c r="K23" s="62">
        <f t="shared" si="4"/>
        <v>4</v>
      </c>
      <c r="L23" s="62">
        <f t="shared" si="5"/>
        <v>4</v>
      </c>
      <c r="N23" s="57">
        <v>3.5</v>
      </c>
      <c r="O23" s="57" t="s">
        <v>315</v>
      </c>
      <c r="P23" s="57" t="s">
        <v>321</v>
      </c>
      <c r="Q23" s="57" t="s">
        <v>327</v>
      </c>
      <c r="R23" s="57" t="s">
        <v>326</v>
      </c>
      <c r="S23" s="57">
        <f t="shared" si="6"/>
        <v>5</v>
      </c>
      <c r="T23" s="57">
        <f t="shared" si="7"/>
        <v>3</v>
      </c>
      <c r="U23" s="57">
        <f t="shared" si="8"/>
        <v>4</v>
      </c>
      <c r="V23" s="57">
        <f t="shared" si="9"/>
        <v>5</v>
      </c>
      <c r="W23" s="57">
        <f t="shared" si="10"/>
        <v>4</v>
      </c>
      <c r="X23" s="62">
        <f t="shared" si="11"/>
        <v>4</v>
      </c>
    </row>
    <row r="24" spans="2:24" x14ac:dyDescent="0.2">
      <c r="B24" s="56">
        <v>6.2</v>
      </c>
      <c r="C24" s="56" t="s">
        <v>315</v>
      </c>
      <c r="D24" s="56" t="s">
        <v>316</v>
      </c>
      <c r="E24" s="56" t="s">
        <v>327</v>
      </c>
      <c r="F24" s="56" t="s">
        <v>326</v>
      </c>
      <c r="G24" s="56">
        <f t="shared" si="0"/>
        <v>5</v>
      </c>
      <c r="H24" s="56">
        <f t="shared" si="1"/>
        <v>4</v>
      </c>
      <c r="I24" s="56">
        <f t="shared" si="2"/>
        <v>4</v>
      </c>
      <c r="J24" s="56">
        <f t="shared" si="3"/>
        <v>5</v>
      </c>
      <c r="K24" s="61">
        <f t="shared" si="4"/>
        <v>5</v>
      </c>
      <c r="L24" s="61">
        <f t="shared" si="5"/>
        <v>5</v>
      </c>
      <c r="N24" s="56">
        <v>3.6</v>
      </c>
      <c r="O24" s="56" t="s">
        <v>315</v>
      </c>
      <c r="P24" s="56" t="s">
        <v>316</v>
      </c>
      <c r="Q24" s="56" t="s">
        <v>327</v>
      </c>
      <c r="R24" s="56" t="s">
        <v>326</v>
      </c>
      <c r="S24" s="56">
        <f t="shared" si="6"/>
        <v>5</v>
      </c>
      <c r="T24" s="56">
        <f t="shared" si="7"/>
        <v>4</v>
      </c>
      <c r="U24" s="56">
        <f t="shared" si="8"/>
        <v>4</v>
      </c>
      <c r="V24" s="56">
        <f t="shared" si="9"/>
        <v>5</v>
      </c>
      <c r="W24" s="56">
        <f t="shared" si="10"/>
        <v>5</v>
      </c>
      <c r="X24" s="61">
        <f t="shared" si="11"/>
        <v>5</v>
      </c>
    </row>
    <row r="25" spans="2:24" x14ac:dyDescent="0.2">
      <c r="B25" s="57">
        <v>7.1</v>
      </c>
      <c r="C25" s="57" t="s">
        <v>320</v>
      </c>
      <c r="D25" s="57" t="s">
        <v>316</v>
      </c>
      <c r="E25" s="57" t="s">
        <v>317</v>
      </c>
      <c r="F25" s="57" t="s">
        <v>323</v>
      </c>
      <c r="G25" s="57">
        <f t="shared" si="0"/>
        <v>3</v>
      </c>
      <c r="H25" s="57">
        <f t="shared" si="1"/>
        <v>4</v>
      </c>
      <c r="I25" s="57">
        <f t="shared" si="2"/>
        <v>5</v>
      </c>
      <c r="J25" s="57">
        <f t="shared" si="3"/>
        <v>4</v>
      </c>
      <c r="K25" s="62">
        <f t="shared" si="4"/>
        <v>4</v>
      </c>
      <c r="L25" s="62">
        <f t="shared" si="5"/>
        <v>4</v>
      </c>
      <c r="N25" s="57">
        <v>4.0999999999999996</v>
      </c>
      <c r="O25" s="57" t="s">
        <v>320</v>
      </c>
      <c r="P25" s="57" t="s">
        <v>316</v>
      </c>
      <c r="Q25" s="57" t="s">
        <v>317</v>
      </c>
      <c r="R25" s="57" t="s">
        <v>323</v>
      </c>
      <c r="S25" s="57">
        <f t="shared" si="6"/>
        <v>3</v>
      </c>
      <c r="T25" s="57">
        <f t="shared" si="7"/>
        <v>4</v>
      </c>
      <c r="U25" s="57">
        <f t="shared" si="8"/>
        <v>5</v>
      </c>
      <c r="V25" s="57">
        <f t="shared" si="9"/>
        <v>4</v>
      </c>
      <c r="W25" s="57">
        <f t="shared" si="10"/>
        <v>4</v>
      </c>
      <c r="X25" s="62">
        <f t="shared" si="11"/>
        <v>4</v>
      </c>
    </row>
    <row r="26" spans="2:24" x14ac:dyDescent="0.2">
      <c r="B26" s="56">
        <v>7.7</v>
      </c>
      <c r="C26" s="56" t="s">
        <v>320</v>
      </c>
      <c r="D26" s="56" t="s">
        <v>316</v>
      </c>
      <c r="E26" s="56" t="s">
        <v>327</v>
      </c>
      <c r="F26" s="56" t="s">
        <v>323</v>
      </c>
      <c r="G26" s="56">
        <f t="shared" si="0"/>
        <v>3</v>
      </c>
      <c r="H26" s="56">
        <f t="shared" si="1"/>
        <v>4</v>
      </c>
      <c r="I26" s="56">
        <f t="shared" si="2"/>
        <v>4</v>
      </c>
      <c r="J26" s="56">
        <f t="shared" si="3"/>
        <v>4</v>
      </c>
      <c r="K26" s="61">
        <f t="shared" si="4"/>
        <v>4</v>
      </c>
      <c r="L26" s="61">
        <f t="shared" si="5"/>
        <v>4</v>
      </c>
      <c r="N26" s="56">
        <v>4.2</v>
      </c>
      <c r="O26" s="56" t="s">
        <v>320</v>
      </c>
      <c r="P26" s="56" t="s">
        <v>316</v>
      </c>
      <c r="Q26" s="56" t="s">
        <v>327</v>
      </c>
      <c r="R26" s="56" t="s">
        <v>323</v>
      </c>
      <c r="S26" s="56">
        <f t="shared" si="6"/>
        <v>3</v>
      </c>
      <c r="T26" s="56">
        <f t="shared" si="7"/>
        <v>4</v>
      </c>
      <c r="U26" s="56">
        <f t="shared" si="8"/>
        <v>4</v>
      </c>
      <c r="V26" s="56">
        <f t="shared" si="9"/>
        <v>4</v>
      </c>
      <c r="W26" s="56">
        <f t="shared" si="10"/>
        <v>4</v>
      </c>
      <c r="X26" s="61">
        <f t="shared" si="11"/>
        <v>4</v>
      </c>
    </row>
    <row r="27" spans="2:24" x14ac:dyDescent="0.2">
      <c r="B27" s="57">
        <v>8.1999999999999993</v>
      </c>
      <c r="C27" s="57" t="s">
        <v>333</v>
      </c>
      <c r="D27" s="57" t="s">
        <v>334</v>
      </c>
      <c r="E27" s="57" t="s">
        <v>331</v>
      </c>
      <c r="F27" s="57" t="s">
        <v>335</v>
      </c>
      <c r="G27" s="57">
        <f t="shared" si="0"/>
        <v>1</v>
      </c>
      <c r="H27" s="57">
        <f t="shared" si="1"/>
        <v>1</v>
      </c>
      <c r="I27" s="57">
        <f t="shared" si="2"/>
        <v>2</v>
      </c>
      <c r="J27" s="57">
        <f t="shared" si="3"/>
        <v>1</v>
      </c>
      <c r="K27" s="62">
        <f t="shared" si="4"/>
        <v>1</v>
      </c>
      <c r="L27" s="62">
        <f t="shared" si="5"/>
        <v>1</v>
      </c>
      <c r="N27" s="57">
        <v>4.3</v>
      </c>
      <c r="O27" s="57" t="s">
        <v>333</v>
      </c>
      <c r="P27" s="57" t="s">
        <v>334</v>
      </c>
      <c r="Q27" s="57" t="s">
        <v>331</v>
      </c>
      <c r="R27" s="57" t="s">
        <v>335</v>
      </c>
      <c r="S27" s="57">
        <f t="shared" si="6"/>
        <v>1</v>
      </c>
      <c r="T27" s="57">
        <f t="shared" si="7"/>
        <v>1</v>
      </c>
      <c r="U27" s="57">
        <f t="shared" si="8"/>
        <v>2</v>
      </c>
      <c r="V27" s="57">
        <f t="shared" si="9"/>
        <v>1</v>
      </c>
      <c r="W27" s="57">
        <f t="shared" si="10"/>
        <v>1</v>
      </c>
      <c r="X27" s="62">
        <f t="shared" si="11"/>
        <v>1</v>
      </c>
    </row>
    <row r="28" spans="2:24" x14ac:dyDescent="0.2">
      <c r="B28" s="56">
        <v>8.4</v>
      </c>
      <c r="C28" s="56" t="s">
        <v>333</v>
      </c>
      <c r="D28" s="56" t="s">
        <v>334</v>
      </c>
      <c r="E28" s="56" t="s">
        <v>331</v>
      </c>
      <c r="F28" s="56" t="s">
        <v>335</v>
      </c>
      <c r="G28" s="56">
        <f t="shared" si="0"/>
        <v>1</v>
      </c>
      <c r="H28" s="56">
        <f t="shared" si="1"/>
        <v>1</v>
      </c>
      <c r="I28" s="56">
        <f t="shared" si="2"/>
        <v>2</v>
      </c>
      <c r="J28" s="56">
        <f t="shared" si="3"/>
        <v>1</v>
      </c>
      <c r="K28" s="61">
        <f t="shared" si="4"/>
        <v>1</v>
      </c>
      <c r="L28" s="61">
        <f t="shared" si="5"/>
        <v>1</v>
      </c>
      <c r="N28" s="56">
        <v>4.4000000000000004</v>
      </c>
      <c r="O28" s="56" t="s">
        <v>333</v>
      </c>
      <c r="P28" s="56" t="s">
        <v>334</v>
      </c>
      <c r="Q28" s="56" t="s">
        <v>331</v>
      </c>
      <c r="R28" s="56" t="s">
        <v>335</v>
      </c>
      <c r="S28" s="56">
        <f t="shared" si="6"/>
        <v>1</v>
      </c>
      <c r="T28" s="56">
        <f t="shared" si="7"/>
        <v>1</v>
      </c>
      <c r="U28" s="56">
        <f t="shared" si="8"/>
        <v>2</v>
      </c>
      <c r="V28" s="56">
        <f t="shared" si="9"/>
        <v>1</v>
      </c>
      <c r="W28" s="56">
        <f t="shared" si="10"/>
        <v>1</v>
      </c>
      <c r="X28" s="61">
        <f t="shared" si="11"/>
        <v>1</v>
      </c>
    </row>
    <row r="29" spans="2:24" x14ac:dyDescent="0.2">
      <c r="B29" s="57">
        <v>8.5</v>
      </c>
      <c r="C29" s="57" t="s">
        <v>333</v>
      </c>
      <c r="D29" s="57" t="s">
        <v>334</v>
      </c>
      <c r="E29" s="57" t="s">
        <v>337</v>
      </c>
      <c r="F29" s="57" t="s">
        <v>335</v>
      </c>
      <c r="G29" s="57">
        <f t="shared" si="0"/>
        <v>1</v>
      </c>
      <c r="H29" s="57">
        <f t="shared" si="1"/>
        <v>1</v>
      </c>
      <c r="I29" s="57">
        <f t="shared" si="2"/>
        <v>1</v>
      </c>
      <c r="J29" s="57">
        <f t="shared" si="3"/>
        <v>1</v>
      </c>
      <c r="K29" s="62">
        <f t="shared" si="4"/>
        <v>1</v>
      </c>
      <c r="L29" s="62">
        <f t="shared" si="5"/>
        <v>1</v>
      </c>
      <c r="N29" s="57">
        <v>4.5</v>
      </c>
      <c r="O29" s="57" t="s">
        <v>333</v>
      </c>
      <c r="P29" s="57" t="s">
        <v>334</v>
      </c>
      <c r="Q29" s="57" t="s">
        <v>337</v>
      </c>
      <c r="R29" s="57" t="s">
        <v>335</v>
      </c>
      <c r="S29" s="57">
        <f t="shared" si="6"/>
        <v>1</v>
      </c>
      <c r="T29" s="57">
        <f t="shared" si="7"/>
        <v>1</v>
      </c>
      <c r="U29" s="57">
        <f t="shared" si="8"/>
        <v>1</v>
      </c>
      <c r="V29" s="57">
        <f t="shared" si="9"/>
        <v>1</v>
      </c>
      <c r="W29" s="57">
        <f t="shared" si="10"/>
        <v>1</v>
      </c>
      <c r="X29" s="62">
        <f t="shared" si="11"/>
        <v>1</v>
      </c>
    </row>
    <row r="30" spans="2:24" x14ac:dyDescent="0.2">
      <c r="B30" s="56">
        <v>9.4</v>
      </c>
      <c r="C30" s="56" t="s">
        <v>315</v>
      </c>
      <c r="D30" s="56" t="s">
        <v>316</v>
      </c>
      <c r="E30" s="56" t="s">
        <v>327</v>
      </c>
      <c r="F30" s="56" t="s">
        <v>323</v>
      </c>
      <c r="G30" s="56">
        <f t="shared" si="0"/>
        <v>5</v>
      </c>
      <c r="H30" s="56">
        <f t="shared" si="1"/>
        <v>4</v>
      </c>
      <c r="I30" s="56">
        <f t="shared" si="2"/>
        <v>4</v>
      </c>
      <c r="J30" s="56">
        <f t="shared" si="3"/>
        <v>4</v>
      </c>
      <c r="K30" s="61">
        <f t="shared" si="4"/>
        <v>4</v>
      </c>
      <c r="L30" s="61">
        <f t="shared" si="5"/>
        <v>4</v>
      </c>
      <c r="N30" s="56">
        <v>4.5999999999999996</v>
      </c>
      <c r="O30" s="56" t="s">
        <v>315</v>
      </c>
      <c r="P30" s="56" t="s">
        <v>316</v>
      </c>
      <c r="Q30" s="56" t="s">
        <v>327</v>
      </c>
      <c r="R30" s="56" t="s">
        <v>323</v>
      </c>
      <c r="S30" s="56">
        <f t="shared" si="6"/>
        <v>5</v>
      </c>
      <c r="T30" s="56">
        <f t="shared" si="7"/>
        <v>4</v>
      </c>
      <c r="U30" s="56">
        <f t="shared" si="8"/>
        <v>4</v>
      </c>
      <c r="V30" s="56">
        <f t="shared" si="9"/>
        <v>4</v>
      </c>
      <c r="W30" s="56">
        <f t="shared" si="10"/>
        <v>4</v>
      </c>
      <c r="X30" s="61">
        <f t="shared" si="11"/>
        <v>4</v>
      </c>
    </row>
    <row r="31" spans="2:24" x14ac:dyDescent="0.2">
      <c r="B31" s="57">
        <v>10.1</v>
      </c>
      <c r="C31" s="57" t="s">
        <v>338</v>
      </c>
      <c r="D31" s="57" t="s">
        <v>316</v>
      </c>
      <c r="E31" s="57" t="s">
        <v>317</v>
      </c>
      <c r="F31" s="57" t="s">
        <v>318</v>
      </c>
      <c r="G31" s="57">
        <f t="shared" si="0"/>
        <v>4</v>
      </c>
      <c r="H31" s="57">
        <f t="shared" si="1"/>
        <v>4</v>
      </c>
      <c r="I31" s="57">
        <f t="shared" si="2"/>
        <v>5</v>
      </c>
      <c r="J31" s="57">
        <f t="shared" si="3"/>
        <v>3</v>
      </c>
      <c r="K31" s="62">
        <f t="shared" si="4"/>
        <v>4</v>
      </c>
      <c r="L31" s="62">
        <f t="shared" si="5"/>
        <v>4</v>
      </c>
      <c r="N31" s="57">
        <v>4.7</v>
      </c>
      <c r="O31" s="57" t="s">
        <v>338</v>
      </c>
      <c r="P31" s="57" t="s">
        <v>316</v>
      </c>
      <c r="Q31" s="57" t="s">
        <v>317</v>
      </c>
      <c r="R31" s="57" t="s">
        <v>318</v>
      </c>
      <c r="S31" s="57">
        <f t="shared" si="6"/>
        <v>4</v>
      </c>
      <c r="T31" s="57">
        <f t="shared" si="7"/>
        <v>4</v>
      </c>
      <c r="U31" s="57">
        <f t="shared" si="8"/>
        <v>5</v>
      </c>
      <c r="V31" s="57">
        <f t="shared" si="9"/>
        <v>3</v>
      </c>
      <c r="W31" s="57">
        <f t="shared" si="10"/>
        <v>4</v>
      </c>
      <c r="X31" s="62">
        <f t="shared" si="11"/>
        <v>4</v>
      </c>
    </row>
    <row r="32" spans="2:24" x14ac:dyDescent="0.2">
      <c r="B32" s="56">
        <v>10.199999999999999</v>
      </c>
      <c r="C32" s="56" t="s">
        <v>320</v>
      </c>
      <c r="D32" s="56" t="s">
        <v>316</v>
      </c>
      <c r="E32" s="56" t="s">
        <v>327</v>
      </c>
      <c r="F32" s="56" t="s">
        <v>326</v>
      </c>
      <c r="G32" s="56">
        <f t="shared" si="0"/>
        <v>3</v>
      </c>
      <c r="H32" s="56">
        <f t="shared" si="1"/>
        <v>4</v>
      </c>
      <c r="I32" s="56">
        <f t="shared" si="2"/>
        <v>4</v>
      </c>
      <c r="J32" s="56">
        <f t="shared" si="3"/>
        <v>5</v>
      </c>
      <c r="K32" s="61">
        <f t="shared" si="4"/>
        <v>4</v>
      </c>
      <c r="L32" s="61">
        <f t="shared" si="5"/>
        <v>4</v>
      </c>
      <c r="N32" s="56">
        <v>5.0999999999999996</v>
      </c>
      <c r="O32" s="56" t="s">
        <v>320</v>
      </c>
      <c r="P32" s="56" t="s">
        <v>316</v>
      </c>
      <c r="Q32" s="56" t="s">
        <v>327</v>
      </c>
      <c r="R32" s="56" t="s">
        <v>326</v>
      </c>
      <c r="S32" s="56">
        <f t="shared" si="6"/>
        <v>3</v>
      </c>
      <c r="T32" s="56">
        <f t="shared" si="7"/>
        <v>4</v>
      </c>
      <c r="U32" s="56">
        <f t="shared" si="8"/>
        <v>4</v>
      </c>
      <c r="V32" s="56">
        <f t="shared" si="9"/>
        <v>5</v>
      </c>
      <c r="W32" s="56">
        <f t="shared" si="10"/>
        <v>4</v>
      </c>
      <c r="X32" s="61">
        <f t="shared" si="11"/>
        <v>4</v>
      </c>
    </row>
    <row r="33" spans="2:24" x14ac:dyDescent="0.2">
      <c r="B33" s="57">
        <v>10.4</v>
      </c>
      <c r="C33" s="57" t="s">
        <v>338</v>
      </c>
      <c r="D33" s="57" t="s">
        <v>325</v>
      </c>
      <c r="E33" s="57" t="s">
        <v>327</v>
      </c>
      <c r="F33" s="57" t="s">
        <v>326</v>
      </c>
      <c r="G33" s="57">
        <f t="shared" si="0"/>
        <v>4</v>
      </c>
      <c r="H33" s="57">
        <f t="shared" si="1"/>
        <v>5</v>
      </c>
      <c r="I33" s="57">
        <f t="shared" si="2"/>
        <v>4</v>
      </c>
      <c r="J33" s="57">
        <f t="shared" si="3"/>
        <v>5</v>
      </c>
      <c r="K33" s="62">
        <f t="shared" si="4"/>
        <v>5</v>
      </c>
      <c r="L33" s="62">
        <f t="shared" si="5"/>
        <v>5</v>
      </c>
      <c r="N33" s="57">
        <v>5.2</v>
      </c>
      <c r="O33" s="57" t="s">
        <v>338</v>
      </c>
      <c r="P33" s="57" t="s">
        <v>325</v>
      </c>
      <c r="Q33" s="57" t="s">
        <v>327</v>
      </c>
      <c r="R33" s="57" t="s">
        <v>326</v>
      </c>
      <c r="S33" s="57">
        <f t="shared" si="6"/>
        <v>4</v>
      </c>
      <c r="T33" s="57">
        <f t="shared" si="7"/>
        <v>5</v>
      </c>
      <c r="U33" s="57">
        <f t="shared" si="8"/>
        <v>4</v>
      </c>
      <c r="V33" s="57">
        <f t="shared" si="9"/>
        <v>5</v>
      </c>
      <c r="W33" s="57">
        <f t="shared" si="10"/>
        <v>5</v>
      </c>
      <c r="X33" s="62">
        <f t="shared" si="11"/>
        <v>5</v>
      </c>
    </row>
    <row r="34" spans="2:24" x14ac:dyDescent="0.2">
      <c r="B34" s="56">
        <v>10.5</v>
      </c>
      <c r="C34" s="56" t="s">
        <v>338</v>
      </c>
      <c r="D34" s="56" t="s">
        <v>325</v>
      </c>
      <c r="E34" s="56" t="s">
        <v>317</v>
      </c>
      <c r="F34" s="56" t="s">
        <v>326</v>
      </c>
      <c r="G34" s="56">
        <f t="shared" si="0"/>
        <v>4</v>
      </c>
      <c r="H34" s="56">
        <f t="shared" si="1"/>
        <v>5</v>
      </c>
      <c r="I34" s="56">
        <f t="shared" si="2"/>
        <v>5</v>
      </c>
      <c r="J34" s="56">
        <f t="shared" si="3"/>
        <v>5</v>
      </c>
      <c r="K34" s="61">
        <f t="shared" si="4"/>
        <v>5</v>
      </c>
      <c r="L34" s="61">
        <f t="shared" si="5"/>
        <v>5</v>
      </c>
      <c r="N34" s="56">
        <v>5.3</v>
      </c>
      <c r="O34" s="56" t="s">
        <v>338</v>
      </c>
      <c r="P34" s="56" t="s">
        <v>325</v>
      </c>
      <c r="Q34" s="56" t="s">
        <v>317</v>
      </c>
      <c r="R34" s="56" t="s">
        <v>326</v>
      </c>
      <c r="S34" s="56">
        <f t="shared" si="6"/>
        <v>4</v>
      </c>
      <c r="T34" s="56">
        <f t="shared" si="7"/>
        <v>5</v>
      </c>
      <c r="U34" s="56">
        <f t="shared" si="8"/>
        <v>5</v>
      </c>
      <c r="V34" s="56">
        <f t="shared" si="9"/>
        <v>5</v>
      </c>
      <c r="W34" s="56">
        <f t="shared" si="10"/>
        <v>5</v>
      </c>
      <c r="X34" s="61">
        <f t="shared" si="11"/>
        <v>5</v>
      </c>
    </row>
    <row r="35" spans="2:24" x14ac:dyDescent="0.2">
      <c r="B35" s="57">
        <v>11.4</v>
      </c>
      <c r="C35" s="57" t="s">
        <v>315</v>
      </c>
      <c r="D35" s="57" t="s">
        <v>316</v>
      </c>
      <c r="E35" s="57" t="s">
        <v>317</v>
      </c>
      <c r="F35" s="57" t="s">
        <v>323</v>
      </c>
      <c r="G35" s="57">
        <f t="shared" si="0"/>
        <v>5</v>
      </c>
      <c r="H35" s="57">
        <f t="shared" si="1"/>
        <v>4</v>
      </c>
      <c r="I35" s="57">
        <f t="shared" si="2"/>
        <v>5</v>
      </c>
      <c r="J35" s="57">
        <f t="shared" si="3"/>
        <v>4</v>
      </c>
      <c r="K35" s="62">
        <f t="shared" si="4"/>
        <v>5</v>
      </c>
      <c r="L35" s="62">
        <f t="shared" si="5"/>
        <v>5</v>
      </c>
      <c r="N35" s="57">
        <v>5.4</v>
      </c>
      <c r="O35" s="57" t="s">
        <v>315</v>
      </c>
      <c r="P35" s="57" t="s">
        <v>316</v>
      </c>
      <c r="Q35" s="57" t="s">
        <v>317</v>
      </c>
      <c r="R35" s="57" t="s">
        <v>323</v>
      </c>
      <c r="S35" s="57">
        <f t="shared" si="6"/>
        <v>5</v>
      </c>
      <c r="T35" s="57">
        <f t="shared" si="7"/>
        <v>4</v>
      </c>
      <c r="U35" s="57">
        <f t="shared" si="8"/>
        <v>5</v>
      </c>
      <c r="V35" s="57">
        <f t="shared" si="9"/>
        <v>4</v>
      </c>
      <c r="W35" s="57">
        <f t="shared" si="10"/>
        <v>5</v>
      </c>
      <c r="X35" s="62">
        <f t="shared" si="11"/>
        <v>5</v>
      </c>
    </row>
    <row r="36" spans="2:24" ht="25.5" x14ac:dyDescent="0.2">
      <c r="B36" s="56">
        <v>12.1</v>
      </c>
      <c r="C36" s="56" t="s">
        <v>339</v>
      </c>
      <c r="D36" s="56" t="s">
        <v>339</v>
      </c>
      <c r="E36" s="56" t="s">
        <v>339</v>
      </c>
      <c r="F36" s="56" t="s">
        <v>339</v>
      </c>
      <c r="G36" s="56" t="str">
        <f t="shared" si="0"/>
        <v>Unknown - Unscored</v>
      </c>
      <c r="H36" s="56" t="str">
        <f t="shared" si="1"/>
        <v>Unknown - Unscored</v>
      </c>
      <c r="I36" s="56" t="str">
        <f t="shared" si="2"/>
        <v>Unknown - Unscored</v>
      </c>
      <c r="J36" s="56" t="str">
        <f t="shared" si="3"/>
        <v>Unknown - Unscored</v>
      </c>
      <c r="K36" s="61" t="e">
        <f t="shared" si="4"/>
        <v>#DIV/0!</v>
      </c>
      <c r="L36" s="61" t="e">
        <f t="shared" si="5"/>
        <v>#DIV/0!</v>
      </c>
      <c r="N36" s="56">
        <v>6.1</v>
      </c>
      <c r="O36" s="56" t="s">
        <v>339</v>
      </c>
      <c r="P36" s="56" t="s">
        <v>339</v>
      </c>
      <c r="Q36" s="56" t="s">
        <v>339</v>
      </c>
      <c r="R36" s="56" t="s">
        <v>339</v>
      </c>
      <c r="S36" s="56" t="str">
        <f t="shared" si="6"/>
        <v>Unknown - Unscored</v>
      </c>
      <c r="T36" s="56" t="str">
        <f t="shared" si="7"/>
        <v>Unknown - Unscored</v>
      </c>
      <c r="U36" s="56" t="str">
        <f t="shared" si="8"/>
        <v>Unknown - Unscored</v>
      </c>
      <c r="V36" s="56" t="str">
        <f t="shared" si="9"/>
        <v>Unknown - Unscored</v>
      </c>
      <c r="W36" s="56" t="e">
        <f t="shared" si="10"/>
        <v>#DIV/0!</v>
      </c>
      <c r="X36" s="61" t="e">
        <f t="shared" si="11"/>
        <v>#DIV/0!</v>
      </c>
    </row>
    <row r="37" spans="2:24" ht="25.5" x14ac:dyDescent="0.2">
      <c r="B37" s="57">
        <v>12.4</v>
      </c>
      <c r="C37" s="57" t="s">
        <v>339</v>
      </c>
      <c r="D37" s="57" t="s">
        <v>339</v>
      </c>
      <c r="E37" s="57" t="s">
        <v>339</v>
      </c>
      <c r="F37" s="57" t="s">
        <v>339</v>
      </c>
      <c r="G37" s="57" t="str">
        <f t="shared" si="0"/>
        <v>Unknown - Unscored</v>
      </c>
      <c r="H37" s="57" t="str">
        <f t="shared" si="1"/>
        <v>Unknown - Unscored</v>
      </c>
      <c r="I37" s="57" t="str">
        <f t="shared" si="2"/>
        <v>Unknown - Unscored</v>
      </c>
      <c r="J37" s="57" t="str">
        <f t="shared" si="3"/>
        <v>Unknown - Unscored</v>
      </c>
      <c r="K37" s="62" t="e">
        <f t="shared" si="4"/>
        <v>#DIV/0!</v>
      </c>
      <c r="L37" s="62" t="e">
        <f t="shared" si="5"/>
        <v>#DIV/0!</v>
      </c>
      <c r="N37" s="57">
        <v>6.2</v>
      </c>
      <c r="O37" s="57" t="s">
        <v>339</v>
      </c>
      <c r="P37" s="57" t="s">
        <v>339</v>
      </c>
      <c r="Q37" s="57" t="s">
        <v>339</v>
      </c>
      <c r="R37" s="57" t="s">
        <v>339</v>
      </c>
      <c r="S37" s="57" t="str">
        <f t="shared" si="6"/>
        <v>Unknown - Unscored</v>
      </c>
      <c r="T37" s="57" t="str">
        <f t="shared" si="7"/>
        <v>Unknown - Unscored</v>
      </c>
      <c r="U37" s="57" t="str">
        <f t="shared" si="8"/>
        <v>Unknown - Unscored</v>
      </c>
      <c r="V37" s="57" t="str">
        <f t="shared" si="9"/>
        <v>Unknown - Unscored</v>
      </c>
      <c r="W37" s="57" t="e">
        <f t="shared" si="10"/>
        <v>#DIV/0!</v>
      </c>
      <c r="X37" s="62" t="e">
        <f t="shared" si="11"/>
        <v>#DIV/0!</v>
      </c>
    </row>
    <row r="38" spans="2:24" ht="25.5" x14ac:dyDescent="0.2">
      <c r="B38" s="56">
        <v>13.1</v>
      </c>
      <c r="C38" s="56" t="s">
        <v>339</v>
      </c>
      <c r="D38" s="56" t="s">
        <v>339</v>
      </c>
      <c r="E38" s="56" t="s">
        <v>339</v>
      </c>
      <c r="F38" s="56" t="s">
        <v>339</v>
      </c>
      <c r="G38" s="56" t="str">
        <f t="shared" si="0"/>
        <v>Unknown - Unscored</v>
      </c>
      <c r="H38" s="56" t="str">
        <f t="shared" si="1"/>
        <v>Unknown - Unscored</v>
      </c>
      <c r="I38" s="56" t="str">
        <f t="shared" si="2"/>
        <v>Unknown - Unscored</v>
      </c>
      <c r="J38" s="56" t="str">
        <f t="shared" si="3"/>
        <v>Unknown - Unscored</v>
      </c>
      <c r="K38" s="61" t="e">
        <f t="shared" si="4"/>
        <v>#DIV/0!</v>
      </c>
      <c r="L38" s="61" t="e">
        <f t="shared" si="5"/>
        <v>#DIV/0!</v>
      </c>
      <c r="N38" s="56">
        <v>6.3</v>
      </c>
      <c r="O38" s="56" t="s">
        <v>339</v>
      </c>
      <c r="P38" s="56" t="s">
        <v>339</v>
      </c>
      <c r="Q38" s="56" t="s">
        <v>339</v>
      </c>
      <c r="R38" s="56" t="s">
        <v>339</v>
      </c>
      <c r="S38" s="56" t="str">
        <f t="shared" si="6"/>
        <v>Unknown - Unscored</v>
      </c>
      <c r="T38" s="56" t="str">
        <f t="shared" si="7"/>
        <v>Unknown - Unscored</v>
      </c>
      <c r="U38" s="56" t="str">
        <f t="shared" si="8"/>
        <v>Unknown - Unscored</v>
      </c>
      <c r="V38" s="56" t="str">
        <f t="shared" si="9"/>
        <v>Unknown - Unscored</v>
      </c>
      <c r="W38" s="56" t="e">
        <f t="shared" si="10"/>
        <v>#DIV/0!</v>
      </c>
      <c r="X38" s="61" t="e">
        <f t="shared" si="11"/>
        <v>#DIV/0!</v>
      </c>
    </row>
    <row r="39" spans="2:24" ht="25.5" x14ac:dyDescent="0.2">
      <c r="B39" s="57">
        <v>13.2</v>
      </c>
      <c r="C39" s="57" t="s">
        <v>339</v>
      </c>
      <c r="D39" s="57" t="s">
        <v>339</v>
      </c>
      <c r="E39" s="57" t="s">
        <v>339</v>
      </c>
      <c r="F39" s="57" t="s">
        <v>339</v>
      </c>
      <c r="G39" s="57" t="str">
        <f t="shared" si="0"/>
        <v>Unknown - Unscored</v>
      </c>
      <c r="H39" s="57" t="str">
        <f t="shared" si="1"/>
        <v>Unknown - Unscored</v>
      </c>
      <c r="I39" s="57" t="str">
        <f t="shared" si="2"/>
        <v>Unknown - Unscored</v>
      </c>
      <c r="J39" s="57" t="str">
        <f t="shared" si="3"/>
        <v>Unknown - Unscored</v>
      </c>
      <c r="K39" s="62" t="e">
        <f t="shared" si="4"/>
        <v>#DIV/0!</v>
      </c>
      <c r="L39" s="62" t="e">
        <f t="shared" si="5"/>
        <v>#DIV/0!</v>
      </c>
      <c r="N39" s="57">
        <v>6.4</v>
      </c>
      <c r="O39" s="57" t="s">
        <v>339</v>
      </c>
      <c r="P39" s="57" t="s">
        <v>339</v>
      </c>
      <c r="Q39" s="57" t="s">
        <v>339</v>
      </c>
      <c r="R39" s="57" t="s">
        <v>339</v>
      </c>
      <c r="S39" s="57" t="str">
        <f t="shared" si="6"/>
        <v>Unknown - Unscored</v>
      </c>
      <c r="T39" s="57" t="str">
        <f t="shared" si="7"/>
        <v>Unknown - Unscored</v>
      </c>
      <c r="U39" s="57" t="str">
        <f t="shared" si="8"/>
        <v>Unknown - Unscored</v>
      </c>
      <c r="V39" s="57" t="str">
        <f t="shared" si="9"/>
        <v>Unknown - Unscored</v>
      </c>
      <c r="W39" s="57" t="e">
        <f t="shared" si="10"/>
        <v>#DIV/0!</v>
      </c>
      <c r="X39" s="62" t="e">
        <f t="shared" si="11"/>
        <v>#DIV/0!</v>
      </c>
    </row>
    <row r="40" spans="2:24" ht="25.5" x14ac:dyDescent="0.2">
      <c r="B40" s="56">
        <v>13.6</v>
      </c>
      <c r="C40" s="56" t="s">
        <v>339</v>
      </c>
      <c r="D40" s="56" t="s">
        <v>339</v>
      </c>
      <c r="E40" s="56" t="s">
        <v>339</v>
      </c>
      <c r="F40" s="56" t="s">
        <v>339</v>
      </c>
      <c r="G40" s="56" t="str">
        <f t="shared" si="0"/>
        <v>Unknown - Unscored</v>
      </c>
      <c r="H40" s="56" t="str">
        <f t="shared" si="1"/>
        <v>Unknown - Unscored</v>
      </c>
      <c r="I40" s="56" t="str">
        <f t="shared" si="2"/>
        <v>Unknown - Unscored</v>
      </c>
      <c r="J40" s="56" t="str">
        <f t="shared" si="3"/>
        <v>Unknown - Unscored</v>
      </c>
      <c r="K40" s="61" t="e">
        <f t="shared" si="4"/>
        <v>#DIV/0!</v>
      </c>
      <c r="L40" s="61" t="e">
        <f t="shared" si="5"/>
        <v>#DIV/0!</v>
      </c>
      <c r="N40" s="56">
        <v>6.5</v>
      </c>
      <c r="O40" s="56" t="s">
        <v>339</v>
      </c>
      <c r="P40" s="56" t="s">
        <v>339</v>
      </c>
      <c r="Q40" s="56" t="s">
        <v>339</v>
      </c>
      <c r="R40" s="56" t="s">
        <v>339</v>
      </c>
      <c r="S40" s="56" t="str">
        <f t="shared" si="6"/>
        <v>Unknown - Unscored</v>
      </c>
      <c r="T40" s="56" t="str">
        <f t="shared" si="7"/>
        <v>Unknown - Unscored</v>
      </c>
      <c r="U40" s="56" t="str">
        <f t="shared" si="8"/>
        <v>Unknown - Unscored</v>
      </c>
      <c r="V40" s="56" t="str">
        <f t="shared" si="9"/>
        <v>Unknown - Unscored</v>
      </c>
      <c r="W40" s="56" t="e">
        <f t="shared" si="10"/>
        <v>#DIV/0!</v>
      </c>
      <c r="X40" s="61" t="e">
        <f t="shared" si="11"/>
        <v>#DIV/0!</v>
      </c>
    </row>
    <row r="41" spans="2:24" x14ac:dyDescent="0.2">
      <c r="B41" s="57">
        <v>14.6</v>
      </c>
      <c r="C41" s="57" t="s">
        <v>315</v>
      </c>
      <c r="D41" s="57" t="s">
        <v>325</v>
      </c>
      <c r="E41" s="57" t="s">
        <v>317</v>
      </c>
      <c r="F41" s="57" t="s">
        <v>326</v>
      </c>
      <c r="G41" s="57">
        <f t="shared" si="0"/>
        <v>5</v>
      </c>
      <c r="H41" s="57">
        <f t="shared" si="1"/>
        <v>5</v>
      </c>
      <c r="I41" s="57">
        <f t="shared" si="2"/>
        <v>5</v>
      </c>
      <c r="J41" s="57">
        <f t="shared" si="3"/>
        <v>5</v>
      </c>
      <c r="K41" s="62">
        <f t="shared" si="4"/>
        <v>5</v>
      </c>
      <c r="L41" s="62">
        <f t="shared" si="5"/>
        <v>5</v>
      </c>
      <c r="N41" s="57">
        <v>7.1</v>
      </c>
      <c r="O41" s="57" t="s">
        <v>315</v>
      </c>
      <c r="P41" s="57" t="s">
        <v>325</v>
      </c>
      <c r="Q41" s="57" t="s">
        <v>317</v>
      </c>
      <c r="R41" s="57" t="s">
        <v>326</v>
      </c>
      <c r="S41" s="57">
        <f t="shared" si="6"/>
        <v>5</v>
      </c>
      <c r="T41" s="57">
        <f t="shared" si="7"/>
        <v>5</v>
      </c>
      <c r="U41" s="57">
        <f t="shared" si="8"/>
        <v>5</v>
      </c>
      <c r="V41" s="57">
        <f t="shared" si="9"/>
        <v>5</v>
      </c>
      <c r="W41" s="57">
        <f t="shared" si="10"/>
        <v>5</v>
      </c>
      <c r="X41" s="62">
        <f t="shared" si="11"/>
        <v>5</v>
      </c>
    </row>
    <row r="42" spans="2:24" x14ac:dyDescent="0.2">
      <c r="B42" s="56">
        <v>15.7</v>
      </c>
      <c r="C42" s="56" t="s">
        <v>315</v>
      </c>
      <c r="D42" s="56" t="s">
        <v>325</v>
      </c>
      <c r="E42" s="56" t="s">
        <v>317</v>
      </c>
      <c r="F42" s="56" t="s">
        <v>326</v>
      </c>
      <c r="G42" s="56">
        <f t="shared" si="0"/>
        <v>5</v>
      </c>
      <c r="H42" s="56">
        <f t="shared" si="1"/>
        <v>5</v>
      </c>
      <c r="I42" s="56">
        <f t="shared" si="2"/>
        <v>5</v>
      </c>
      <c r="J42" s="56">
        <f t="shared" si="3"/>
        <v>5</v>
      </c>
      <c r="K42" s="61">
        <f t="shared" si="4"/>
        <v>5</v>
      </c>
      <c r="L42" s="61">
        <f t="shared" si="5"/>
        <v>5</v>
      </c>
      <c r="N42" s="56">
        <v>7.2</v>
      </c>
      <c r="O42" s="56" t="s">
        <v>315</v>
      </c>
      <c r="P42" s="56" t="s">
        <v>325</v>
      </c>
      <c r="Q42" s="56" t="s">
        <v>317</v>
      </c>
      <c r="R42" s="56" t="s">
        <v>326</v>
      </c>
      <c r="S42" s="56">
        <f t="shared" si="6"/>
        <v>5</v>
      </c>
      <c r="T42" s="56">
        <f t="shared" si="7"/>
        <v>5</v>
      </c>
      <c r="U42" s="56">
        <f t="shared" si="8"/>
        <v>5</v>
      </c>
      <c r="V42" s="56">
        <f t="shared" si="9"/>
        <v>5</v>
      </c>
      <c r="W42" s="56">
        <f t="shared" si="10"/>
        <v>5</v>
      </c>
      <c r="X42" s="61">
        <f t="shared" si="11"/>
        <v>5</v>
      </c>
    </row>
    <row r="43" spans="2:24" x14ac:dyDescent="0.2">
      <c r="B43" s="88">
        <v>15.1</v>
      </c>
      <c r="C43" s="57" t="s">
        <v>315</v>
      </c>
      <c r="D43" s="57" t="s">
        <v>325</v>
      </c>
      <c r="E43" s="57" t="s">
        <v>317</v>
      </c>
      <c r="F43" s="57" t="s">
        <v>326</v>
      </c>
      <c r="G43" s="57">
        <f t="shared" si="0"/>
        <v>5</v>
      </c>
      <c r="H43" s="57">
        <f t="shared" si="1"/>
        <v>5</v>
      </c>
      <c r="I43" s="57">
        <f t="shared" si="2"/>
        <v>5</v>
      </c>
      <c r="J43" s="57">
        <f t="shared" si="3"/>
        <v>5</v>
      </c>
      <c r="K43" s="62">
        <f t="shared" si="4"/>
        <v>5</v>
      </c>
      <c r="L43" s="62">
        <f t="shared" si="5"/>
        <v>5</v>
      </c>
      <c r="N43" s="57">
        <v>7.3</v>
      </c>
      <c r="O43" s="57" t="s">
        <v>315</v>
      </c>
      <c r="P43" s="57" t="s">
        <v>325</v>
      </c>
      <c r="Q43" s="57" t="s">
        <v>317</v>
      </c>
      <c r="R43" s="57" t="s">
        <v>326</v>
      </c>
      <c r="S43" s="57">
        <f t="shared" si="6"/>
        <v>5</v>
      </c>
      <c r="T43" s="57">
        <f t="shared" si="7"/>
        <v>5</v>
      </c>
      <c r="U43" s="57">
        <f t="shared" si="8"/>
        <v>5</v>
      </c>
      <c r="V43" s="57">
        <f t="shared" si="9"/>
        <v>5</v>
      </c>
      <c r="W43" s="57">
        <f t="shared" si="10"/>
        <v>5</v>
      </c>
      <c r="X43" s="62">
        <f t="shared" si="11"/>
        <v>5</v>
      </c>
    </row>
    <row r="44" spans="2:24" ht="25.5" x14ac:dyDescent="0.2">
      <c r="B44" s="56">
        <v>16.8</v>
      </c>
      <c r="C44" s="56" t="s">
        <v>339</v>
      </c>
      <c r="D44" s="56" t="s">
        <v>339</v>
      </c>
      <c r="E44" s="56" t="s">
        <v>339</v>
      </c>
      <c r="F44" s="56" t="s">
        <v>339</v>
      </c>
      <c r="G44" s="56" t="str">
        <f t="shared" si="0"/>
        <v>Unknown - Unscored</v>
      </c>
      <c r="H44" s="56" t="str">
        <f t="shared" si="1"/>
        <v>Unknown - Unscored</v>
      </c>
      <c r="I44" s="56" t="str">
        <f t="shared" si="2"/>
        <v>Unknown - Unscored</v>
      </c>
      <c r="J44" s="56" t="str">
        <f t="shared" si="3"/>
        <v>Unknown - Unscored</v>
      </c>
      <c r="K44" s="61" t="e">
        <f t="shared" si="4"/>
        <v>#DIV/0!</v>
      </c>
      <c r="L44" s="61" t="e">
        <f t="shared" si="5"/>
        <v>#DIV/0!</v>
      </c>
      <c r="N44" s="56">
        <v>7.4</v>
      </c>
      <c r="O44" s="56" t="s">
        <v>339</v>
      </c>
      <c r="P44" s="56" t="s">
        <v>339</v>
      </c>
      <c r="Q44" s="56" t="s">
        <v>339</v>
      </c>
      <c r="R44" s="56" t="s">
        <v>339</v>
      </c>
      <c r="S44" s="56" t="str">
        <f t="shared" si="6"/>
        <v>Unknown - Unscored</v>
      </c>
      <c r="T44" s="56" t="str">
        <f t="shared" si="7"/>
        <v>Unknown - Unscored</v>
      </c>
      <c r="U44" s="56" t="str">
        <f t="shared" si="8"/>
        <v>Unknown - Unscored</v>
      </c>
      <c r="V44" s="56" t="str">
        <f t="shared" si="9"/>
        <v>Unknown - Unscored</v>
      </c>
      <c r="W44" s="56" t="e">
        <f t="shared" si="10"/>
        <v>#DIV/0!</v>
      </c>
      <c r="X44" s="61" t="e">
        <f t="shared" si="11"/>
        <v>#DIV/0!</v>
      </c>
    </row>
    <row r="45" spans="2:24" ht="25.5" x14ac:dyDescent="0.2">
      <c r="B45" s="57">
        <v>16.899999999999999</v>
      </c>
      <c r="C45" s="57" t="s">
        <v>339</v>
      </c>
      <c r="D45" s="57" t="s">
        <v>339</v>
      </c>
      <c r="E45" s="57" t="s">
        <v>339</v>
      </c>
      <c r="F45" s="57" t="s">
        <v>339</v>
      </c>
      <c r="G45" s="57" t="str">
        <f t="shared" si="0"/>
        <v>Unknown - Unscored</v>
      </c>
      <c r="H45" s="57" t="str">
        <f t="shared" si="1"/>
        <v>Unknown - Unscored</v>
      </c>
      <c r="I45" s="57" t="str">
        <f t="shared" si="2"/>
        <v>Unknown - Unscored</v>
      </c>
      <c r="J45" s="57" t="str">
        <f t="shared" si="3"/>
        <v>Unknown - Unscored</v>
      </c>
      <c r="K45" s="62" t="e">
        <f t="shared" si="4"/>
        <v>#DIV/0!</v>
      </c>
      <c r="L45" s="62" t="e">
        <f t="shared" si="5"/>
        <v>#DIV/0!</v>
      </c>
      <c r="N45" s="57">
        <v>8.1</v>
      </c>
      <c r="O45" s="57" t="s">
        <v>339</v>
      </c>
      <c r="P45" s="57" t="s">
        <v>339</v>
      </c>
      <c r="Q45" s="57" t="s">
        <v>339</v>
      </c>
      <c r="R45" s="57" t="s">
        <v>339</v>
      </c>
      <c r="S45" s="57" t="str">
        <f t="shared" si="6"/>
        <v>Unknown - Unscored</v>
      </c>
      <c r="T45" s="57" t="str">
        <f t="shared" si="7"/>
        <v>Unknown - Unscored</v>
      </c>
      <c r="U45" s="57" t="str">
        <f t="shared" si="8"/>
        <v>Unknown - Unscored</v>
      </c>
      <c r="V45" s="57" t="str">
        <f t="shared" si="9"/>
        <v>Unknown - Unscored</v>
      </c>
      <c r="W45" s="57" t="e">
        <f t="shared" si="10"/>
        <v>#DIV/0!</v>
      </c>
      <c r="X45" s="62" t="e">
        <f t="shared" si="11"/>
        <v>#DIV/0!</v>
      </c>
    </row>
    <row r="46" spans="2:24" x14ac:dyDescent="0.2">
      <c r="B46" s="56">
        <v>16.11</v>
      </c>
      <c r="C46" s="56" t="s">
        <v>315</v>
      </c>
      <c r="D46" s="56" t="s">
        <v>325</v>
      </c>
      <c r="E46" s="56" t="s">
        <v>317</v>
      </c>
      <c r="F46" s="56" t="s">
        <v>326</v>
      </c>
      <c r="G46" s="56">
        <f t="shared" si="0"/>
        <v>5</v>
      </c>
      <c r="H46" s="56">
        <f t="shared" si="1"/>
        <v>5</v>
      </c>
      <c r="I46" s="56">
        <f t="shared" si="2"/>
        <v>5</v>
      </c>
      <c r="J46" s="56">
        <f t="shared" si="3"/>
        <v>5</v>
      </c>
      <c r="K46" s="61">
        <f t="shared" si="4"/>
        <v>5</v>
      </c>
      <c r="L46" s="61">
        <f t="shared" si="5"/>
        <v>5</v>
      </c>
      <c r="N46" s="56">
        <v>8.1999999999999993</v>
      </c>
      <c r="O46" s="56" t="s">
        <v>315</v>
      </c>
      <c r="P46" s="56" t="s">
        <v>325</v>
      </c>
      <c r="Q46" s="56" t="s">
        <v>317</v>
      </c>
      <c r="R46" s="56" t="s">
        <v>326</v>
      </c>
      <c r="S46" s="56">
        <f t="shared" si="6"/>
        <v>5</v>
      </c>
      <c r="T46" s="56">
        <f t="shared" si="7"/>
        <v>5</v>
      </c>
      <c r="U46" s="56">
        <f t="shared" si="8"/>
        <v>5</v>
      </c>
      <c r="V46" s="56">
        <f t="shared" si="9"/>
        <v>5</v>
      </c>
      <c r="W46" s="56">
        <f t="shared" si="10"/>
        <v>5</v>
      </c>
      <c r="X46" s="61">
        <f t="shared" si="11"/>
        <v>5</v>
      </c>
    </row>
    <row r="47" spans="2:24" x14ac:dyDescent="0.2">
      <c r="B47" s="57">
        <v>17.3</v>
      </c>
      <c r="C47" s="57" t="s">
        <v>315</v>
      </c>
      <c r="D47" s="57" t="s">
        <v>325</v>
      </c>
      <c r="E47" s="57" t="s">
        <v>317</v>
      </c>
      <c r="F47" s="57" t="s">
        <v>326</v>
      </c>
      <c r="G47" s="57">
        <f t="shared" si="0"/>
        <v>5</v>
      </c>
      <c r="H47" s="57">
        <f t="shared" si="1"/>
        <v>5</v>
      </c>
      <c r="I47" s="57">
        <f t="shared" si="2"/>
        <v>5</v>
      </c>
      <c r="J47" s="57">
        <f t="shared" si="3"/>
        <v>5</v>
      </c>
      <c r="K47" s="62">
        <f t="shared" si="4"/>
        <v>5</v>
      </c>
      <c r="L47" s="62">
        <f t="shared" si="5"/>
        <v>5</v>
      </c>
      <c r="N47" s="57">
        <v>8.3000000000000007</v>
      </c>
      <c r="O47" s="57" t="s">
        <v>315</v>
      </c>
      <c r="P47" s="57" t="s">
        <v>325</v>
      </c>
      <c r="Q47" s="57" t="s">
        <v>317</v>
      </c>
      <c r="R47" s="57" t="s">
        <v>326</v>
      </c>
      <c r="S47" s="57">
        <f t="shared" si="6"/>
        <v>5</v>
      </c>
      <c r="T47" s="57">
        <f t="shared" si="7"/>
        <v>5</v>
      </c>
      <c r="U47" s="57">
        <f t="shared" si="8"/>
        <v>5</v>
      </c>
      <c r="V47" s="57">
        <f t="shared" si="9"/>
        <v>5</v>
      </c>
      <c r="W47" s="57">
        <f t="shared" si="10"/>
        <v>5</v>
      </c>
      <c r="X47" s="62">
        <f t="shared" si="11"/>
        <v>5</v>
      </c>
    </row>
    <row r="48" spans="2:24" ht="25.5" x14ac:dyDescent="0.2">
      <c r="B48" s="56">
        <v>17.5</v>
      </c>
      <c r="C48" s="56" t="s">
        <v>339</v>
      </c>
      <c r="D48" s="56" t="s">
        <v>339</v>
      </c>
      <c r="E48" s="56" t="s">
        <v>339</v>
      </c>
      <c r="F48" s="56" t="s">
        <v>339</v>
      </c>
      <c r="G48" s="56" t="str">
        <f t="shared" si="0"/>
        <v>Unknown - Unscored</v>
      </c>
      <c r="H48" s="56" t="str">
        <f t="shared" si="1"/>
        <v>Unknown - Unscored</v>
      </c>
      <c r="I48" s="56" t="str">
        <f t="shared" si="2"/>
        <v>Unknown - Unscored</v>
      </c>
      <c r="J48" s="56" t="str">
        <f t="shared" si="3"/>
        <v>Unknown - Unscored</v>
      </c>
      <c r="K48" s="61" t="e">
        <f t="shared" si="4"/>
        <v>#DIV/0!</v>
      </c>
      <c r="L48" s="61" t="e">
        <f t="shared" si="5"/>
        <v>#DIV/0!</v>
      </c>
      <c r="N48" s="56">
        <v>9.1</v>
      </c>
      <c r="O48" s="56" t="s">
        <v>339</v>
      </c>
      <c r="P48" s="56" t="s">
        <v>339</v>
      </c>
      <c r="Q48" s="56" t="s">
        <v>339</v>
      </c>
      <c r="R48" s="56" t="s">
        <v>339</v>
      </c>
      <c r="S48" s="56" t="str">
        <f t="shared" si="6"/>
        <v>Unknown - Unscored</v>
      </c>
      <c r="T48" s="56" t="str">
        <f t="shared" si="7"/>
        <v>Unknown - Unscored</v>
      </c>
      <c r="U48" s="56" t="str">
        <f t="shared" si="8"/>
        <v>Unknown - Unscored</v>
      </c>
      <c r="V48" s="56" t="str">
        <f t="shared" si="9"/>
        <v>Unknown - Unscored</v>
      </c>
      <c r="W48" s="56" t="e">
        <f t="shared" si="10"/>
        <v>#DIV/0!</v>
      </c>
      <c r="X48" s="61" t="e">
        <f t="shared" si="11"/>
        <v>#DIV/0!</v>
      </c>
    </row>
    <row r="49" spans="2:24" ht="25.5" x14ac:dyDescent="0.2">
      <c r="B49" s="57">
        <v>17.600000000000001</v>
      </c>
      <c r="C49" s="57" t="s">
        <v>339</v>
      </c>
      <c r="D49" s="57" t="s">
        <v>339</v>
      </c>
      <c r="E49" s="57" t="s">
        <v>339</v>
      </c>
      <c r="F49" s="57" t="s">
        <v>339</v>
      </c>
      <c r="G49" s="57" t="str">
        <f t="shared" si="0"/>
        <v>Unknown - Unscored</v>
      </c>
      <c r="H49" s="57" t="str">
        <f t="shared" si="1"/>
        <v>Unknown - Unscored</v>
      </c>
      <c r="I49" s="57" t="str">
        <f t="shared" si="2"/>
        <v>Unknown - Unscored</v>
      </c>
      <c r="J49" s="57" t="str">
        <f t="shared" si="3"/>
        <v>Unknown - Unscored</v>
      </c>
      <c r="K49" s="62" t="e">
        <f t="shared" si="4"/>
        <v>#DIV/0!</v>
      </c>
      <c r="L49" s="62" t="e">
        <f t="shared" si="5"/>
        <v>#DIV/0!</v>
      </c>
      <c r="N49" s="57">
        <v>9.1999999999999993</v>
      </c>
      <c r="O49" s="57" t="s">
        <v>339</v>
      </c>
      <c r="P49" s="57" t="s">
        <v>339</v>
      </c>
      <c r="Q49" s="57" t="s">
        <v>339</v>
      </c>
      <c r="R49" s="57" t="s">
        <v>339</v>
      </c>
      <c r="S49" s="57" t="str">
        <f t="shared" si="6"/>
        <v>Unknown - Unscored</v>
      </c>
      <c r="T49" s="57" t="str">
        <f t="shared" si="7"/>
        <v>Unknown - Unscored</v>
      </c>
      <c r="U49" s="57" t="str">
        <f t="shared" si="8"/>
        <v>Unknown - Unscored</v>
      </c>
      <c r="V49" s="57" t="str">
        <f t="shared" si="9"/>
        <v>Unknown - Unscored</v>
      </c>
      <c r="W49" s="57" t="e">
        <f t="shared" si="10"/>
        <v>#DIV/0!</v>
      </c>
      <c r="X49" s="62" t="e">
        <f t="shared" si="11"/>
        <v>#DIV/0!</v>
      </c>
    </row>
    <row r="50" spans="2:24" ht="25.5" x14ac:dyDescent="0.2">
      <c r="B50" s="56">
        <v>17.7</v>
      </c>
      <c r="C50" s="56" t="s">
        <v>339</v>
      </c>
      <c r="D50" s="56" t="s">
        <v>339</v>
      </c>
      <c r="E50" s="56" t="s">
        <v>339</v>
      </c>
      <c r="F50" s="56" t="s">
        <v>339</v>
      </c>
      <c r="G50" s="56" t="str">
        <f t="shared" si="0"/>
        <v>Unknown - Unscored</v>
      </c>
      <c r="H50" s="56" t="str">
        <f t="shared" si="1"/>
        <v>Unknown - Unscored</v>
      </c>
      <c r="I50" s="56" t="str">
        <f t="shared" si="2"/>
        <v>Unknown - Unscored</v>
      </c>
      <c r="J50" s="56" t="str">
        <f t="shared" si="3"/>
        <v>Unknown - Unscored</v>
      </c>
      <c r="K50" s="61" t="e">
        <f t="shared" si="4"/>
        <v>#DIV/0!</v>
      </c>
      <c r="L50" s="61" t="e">
        <f t="shared" si="5"/>
        <v>#DIV/0!</v>
      </c>
      <c r="N50" s="56">
        <v>10.1</v>
      </c>
      <c r="O50" s="56" t="s">
        <v>339</v>
      </c>
      <c r="P50" s="56" t="s">
        <v>339</v>
      </c>
      <c r="Q50" s="56" t="s">
        <v>339</v>
      </c>
      <c r="R50" s="56" t="s">
        <v>339</v>
      </c>
      <c r="S50" s="56" t="str">
        <f t="shared" si="6"/>
        <v>Unknown - Unscored</v>
      </c>
      <c r="T50" s="56" t="str">
        <f t="shared" si="7"/>
        <v>Unknown - Unscored</v>
      </c>
      <c r="U50" s="56" t="str">
        <f t="shared" si="8"/>
        <v>Unknown - Unscored</v>
      </c>
      <c r="V50" s="56" t="str">
        <f t="shared" si="9"/>
        <v>Unknown - Unscored</v>
      </c>
      <c r="W50" s="56" t="e">
        <f t="shared" si="10"/>
        <v>#DIV/0!</v>
      </c>
      <c r="X50" s="61" t="e">
        <f t="shared" si="11"/>
        <v>#DIV/0!</v>
      </c>
    </row>
    <row r="51" spans="2:24" ht="25.5" x14ac:dyDescent="0.2">
      <c r="B51" s="57">
        <v>17.8</v>
      </c>
      <c r="C51" s="57" t="s">
        <v>339</v>
      </c>
      <c r="D51" s="57" t="s">
        <v>339</v>
      </c>
      <c r="E51" s="57" t="s">
        <v>339</v>
      </c>
      <c r="F51" s="57" t="s">
        <v>339</v>
      </c>
      <c r="G51" s="57" t="str">
        <f t="shared" si="0"/>
        <v>Unknown - Unscored</v>
      </c>
      <c r="H51" s="57" t="str">
        <f t="shared" si="1"/>
        <v>Unknown - Unscored</v>
      </c>
      <c r="I51" s="57" t="str">
        <f t="shared" si="2"/>
        <v>Unknown - Unscored</v>
      </c>
      <c r="J51" s="57" t="str">
        <f t="shared" si="3"/>
        <v>Unknown - Unscored</v>
      </c>
      <c r="K51" s="62" t="e">
        <f t="shared" si="4"/>
        <v>#DIV/0!</v>
      </c>
      <c r="L51" s="62" t="e">
        <f t="shared" si="5"/>
        <v>#DIV/0!</v>
      </c>
      <c r="N51" s="57">
        <v>10.199999999999999</v>
      </c>
      <c r="O51" s="57" t="s">
        <v>339</v>
      </c>
      <c r="P51" s="57" t="s">
        <v>339</v>
      </c>
      <c r="Q51" s="57" t="s">
        <v>339</v>
      </c>
      <c r="R51" s="57" t="s">
        <v>339</v>
      </c>
      <c r="S51" s="57" t="str">
        <f t="shared" si="6"/>
        <v>Unknown - Unscored</v>
      </c>
      <c r="T51" s="57" t="str">
        <f t="shared" si="7"/>
        <v>Unknown - Unscored</v>
      </c>
      <c r="U51" s="57" t="str">
        <f t="shared" si="8"/>
        <v>Unknown - Unscored</v>
      </c>
      <c r="V51" s="57" t="str">
        <f t="shared" si="9"/>
        <v>Unknown - Unscored</v>
      </c>
      <c r="W51" s="57" t="e">
        <f t="shared" si="10"/>
        <v>#DIV/0!</v>
      </c>
      <c r="X51" s="62" t="e">
        <f t="shared" si="11"/>
        <v>#DIV/0!</v>
      </c>
    </row>
    <row r="52" spans="2:24" ht="25.5" x14ac:dyDescent="0.2">
      <c r="B52" s="56">
        <v>17.899999999999999</v>
      </c>
      <c r="C52" s="56" t="s">
        <v>339</v>
      </c>
      <c r="D52" s="56" t="s">
        <v>339</v>
      </c>
      <c r="E52" s="56" t="s">
        <v>339</v>
      </c>
      <c r="F52" s="56" t="s">
        <v>339</v>
      </c>
      <c r="G52" s="56" t="str">
        <f t="shared" si="0"/>
        <v>Unknown - Unscored</v>
      </c>
      <c r="H52" s="56" t="str">
        <f t="shared" si="1"/>
        <v>Unknown - Unscored</v>
      </c>
      <c r="I52" s="56" t="str">
        <f t="shared" si="2"/>
        <v>Unknown - Unscored</v>
      </c>
      <c r="J52" s="56" t="str">
        <f t="shared" si="3"/>
        <v>Unknown - Unscored</v>
      </c>
      <c r="K52" s="61" t="e">
        <f t="shared" si="4"/>
        <v>#DIV/0!</v>
      </c>
      <c r="L52" s="61" t="e">
        <f t="shared" si="5"/>
        <v>#DIV/0!</v>
      </c>
      <c r="N52" s="56">
        <v>10.3</v>
      </c>
      <c r="O52" s="56" t="s">
        <v>339</v>
      </c>
      <c r="P52" s="56" t="s">
        <v>339</v>
      </c>
      <c r="Q52" s="56" t="s">
        <v>339</v>
      </c>
      <c r="R52" s="56" t="s">
        <v>339</v>
      </c>
      <c r="S52" s="56" t="str">
        <f t="shared" si="6"/>
        <v>Unknown - Unscored</v>
      </c>
      <c r="T52" s="56" t="str">
        <f t="shared" si="7"/>
        <v>Unknown - Unscored</v>
      </c>
      <c r="U52" s="56" t="str">
        <f t="shared" si="8"/>
        <v>Unknown - Unscored</v>
      </c>
      <c r="V52" s="56" t="str">
        <f t="shared" si="9"/>
        <v>Unknown - Unscored</v>
      </c>
      <c r="W52" s="56" t="e">
        <f t="shared" si="10"/>
        <v>#DIV/0!</v>
      </c>
      <c r="X52" s="61" t="e">
        <f t="shared" si="11"/>
        <v>#DIV/0!</v>
      </c>
    </row>
    <row r="53" spans="2:24" ht="25.5" x14ac:dyDescent="0.2">
      <c r="B53" s="57">
        <v>19.100000000000001</v>
      </c>
      <c r="C53" s="57" t="s">
        <v>339</v>
      </c>
      <c r="D53" s="57" t="s">
        <v>339</v>
      </c>
      <c r="E53" s="57" t="s">
        <v>339</v>
      </c>
      <c r="F53" s="57" t="s">
        <v>339</v>
      </c>
      <c r="G53" s="57" t="str">
        <f t="shared" si="0"/>
        <v>Unknown - Unscored</v>
      </c>
      <c r="H53" s="57" t="str">
        <f t="shared" si="1"/>
        <v>Unknown - Unscored</v>
      </c>
      <c r="I53" s="57" t="str">
        <f t="shared" si="2"/>
        <v>Unknown - Unscored</v>
      </c>
      <c r="J53" s="57" t="str">
        <f t="shared" si="3"/>
        <v>Unknown - Unscored</v>
      </c>
      <c r="K53" s="62" t="e">
        <f t="shared" si="4"/>
        <v>#DIV/0!</v>
      </c>
      <c r="L53" s="62" t="e">
        <f t="shared" si="5"/>
        <v>#DIV/0!</v>
      </c>
      <c r="N53" s="57">
        <v>11.1</v>
      </c>
      <c r="O53" s="57" t="s">
        <v>339</v>
      </c>
      <c r="P53" s="57" t="s">
        <v>339</v>
      </c>
      <c r="Q53" s="57" t="s">
        <v>339</v>
      </c>
      <c r="R53" s="57" t="s">
        <v>339</v>
      </c>
      <c r="S53" s="57" t="str">
        <f t="shared" si="6"/>
        <v>Unknown - Unscored</v>
      </c>
      <c r="T53" s="57" t="str">
        <f t="shared" si="7"/>
        <v>Unknown - Unscored</v>
      </c>
      <c r="U53" s="57" t="str">
        <f t="shared" si="8"/>
        <v>Unknown - Unscored</v>
      </c>
      <c r="V53" s="57" t="str">
        <f t="shared" si="9"/>
        <v>Unknown - Unscored</v>
      </c>
      <c r="W53" s="57" t="e">
        <f t="shared" si="10"/>
        <v>#DIV/0!</v>
      </c>
      <c r="X53" s="62" t="e">
        <f t="shared" si="11"/>
        <v>#DIV/0!</v>
      </c>
    </row>
    <row r="54" spans="2:24" x14ac:dyDescent="0.2">
      <c r="B54" s="56">
        <v>19.3</v>
      </c>
      <c r="C54" s="56" t="s">
        <v>315</v>
      </c>
      <c r="D54" s="56" t="s">
        <v>325</v>
      </c>
      <c r="E54" s="56" t="s">
        <v>317</v>
      </c>
      <c r="F54" s="56" t="s">
        <v>332</v>
      </c>
      <c r="G54" s="56">
        <f t="shared" si="0"/>
        <v>5</v>
      </c>
      <c r="H54" s="56">
        <f t="shared" si="1"/>
        <v>5</v>
      </c>
      <c r="I54" s="56">
        <f t="shared" si="2"/>
        <v>5</v>
      </c>
      <c r="J54" s="56" t="str">
        <f t="shared" si="3"/>
        <v>Unknown - N/A</v>
      </c>
      <c r="K54" s="61">
        <f t="shared" si="4"/>
        <v>5</v>
      </c>
      <c r="L54" s="61">
        <f t="shared" si="5"/>
        <v>5</v>
      </c>
      <c r="N54" s="56">
        <v>11.2</v>
      </c>
      <c r="O54" s="56" t="s">
        <v>315</v>
      </c>
      <c r="P54" s="56" t="s">
        <v>325</v>
      </c>
      <c r="Q54" s="56" t="s">
        <v>317</v>
      </c>
      <c r="R54" s="56" t="s">
        <v>332</v>
      </c>
      <c r="S54" s="56">
        <f t="shared" si="6"/>
        <v>5</v>
      </c>
      <c r="T54" s="56">
        <f t="shared" si="7"/>
        <v>5</v>
      </c>
      <c r="U54" s="56">
        <f t="shared" si="8"/>
        <v>5</v>
      </c>
      <c r="V54" s="56" t="str">
        <f t="shared" si="9"/>
        <v>Unknown - N/A</v>
      </c>
      <c r="W54" s="56">
        <f t="shared" si="10"/>
        <v>5</v>
      </c>
      <c r="X54" s="61">
        <f t="shared" si="11"/>
        <v>5</v>
      </c>
    </row>
    <row r="55" spans="2:24" ht="25.5" x14ac:dyDescent="0.2">
      <c r="B55" s="57">
        <v>19.5</v>
      </c>
      <c r="C55" s="57" t="s">
        <v>339</v>
      </c>
      <c r="D55" s="57" t="s">
        <v>339</v>
      </c>
      <c r="E55" s="57" t="s">
        <v>339</v>
      </c>
      <c r="F55" s="57" t="s">
        <v>339</v>
      </c>
      <c r="G55" s="57" t="str">
        <f t="shared" si="0"/>
        <v>Unknown - Unscored</v>
      </c>
      <c r="H55" s="57" t="str">
        <f t="shared" si="1"/>
        <v>Unknown - Unscored</v>
      </c>
      <c r="I55" s="57" t="str">
        <f t="shared" si="2"/>
        <v>Unknown - Unscored</v>
      </c>
      <c r="J55" s="57" t="str">
        <f t="shared" si="3"/>
        <v>Unknown - Unscored</v>
      </c>
      <c r="K55" s="62" t="e">
        <f t="shared" si="4"/>
        <v>#DIV/0!</v>
      </c>
      <c r="L55" s="62" t="e">
        <f t="shared" si="5"/>
        <v>#DIV/0!</v>
      </c>
      <c r="N55" s="57">
        <v>11.3</v>
      </c>
      <c r="O55" s="57" t="s">
        <v>339</v>
      </c>
      <c r="P55" s="57" t="s">
        <v>339</v>
      </c>
      <c r="Q55" s="57" t="s">
        <v>339</v>
      </c>
      <c r="R55" s="57" t="s">
        <v>339</v>
      </c>
      <c r="S55" s="57" t="str">
        <f t="shared" si="6"/>
        <v>Unknown - Unscored</v>
      </c>
      <c r="T55" s="57" t="str">
        <f t="shared" si="7"/>
        <v>Unknown - Unscored</v>
      </c>
      <c r="U55" s="57" t="str">
        <f t="shared" si="8"/>
        <v>Unknown - Unscored</v>
      </c>
      <c r="V55" s="57" t="str">
        <f t="shared" si="9"/>
        <v>Unknown - Unscored</v>
      </c>
      <c r="W55" s="57" t="e">
        <f t="shared" si="10"/>
        <v>#DIV/0!</v>
      </c>
      <c r="X55" s="62" t="e">
        <f t="shared" si="11"/>
        <v>#DIV/0!</v>
      </c>
    </row>
    <row r="56" spans="2:24" ht="26.25" thickBot="1" x14ac:dyDescent="0.25">
      <c r="B56" s="58">
        <v>19.600000000000001</v>
      </c>
      <c r="C56" s="58" t="s">
        <v>339</v>
      </c>
      <c r="D56" s="58" t="s">
        <v>339</v>
      </c>
      <c r="E56" s="58" t="s">
        <v>339</v>
      </c>
      <c r="F56" s="58" t="s">
        <v>339</v>
      </c>
      <c r="G56" s="58" t="str">
        <f t="shared" si="0"/>
        <v>Unknown - Unscored</v>
      </c>
      <c r="H56" s="58" t="str">
        <f t="shared" si="1"/>
        <v>Unknown - Unscored</v>
      </c>
      <c r="I56" s="58" t="str">
        <f t="shared" si="2"/>
        <v>Unknown - Unscored</v>
      </c>
      <c r="J56" s="58" t="str">
        <f t="shared" si="3"/>
        <v>Unknown - Unscored</v>
      </c>
      <c r="K56" s="63" t="e">
        <f t="shared" si="4"/>
        <v>#DIV/0!</v>
      </c>
      <c r="L56" s="63" t="e">
        <f t="shared" si="5"/>
        <v>#DIV/0!</v>
      </c>
      <c r="N56" s="56">
        <v>11.4</v>
      </c>
      <c r="O56" s="56" t="s">
        <v>339</v>
      </c>
      <c r="P56" s="56" t="s">
        <v>339</v>
      </c>
      <c r="Q56" s="56" t="s">
        <v>339</v>
      </c>
      <c r="R56" s="56" t="s">
        <v>339</v>
      </c>
      <c r="S56" s="56" t="str">
        <f t="shared" si="6"/>
        <v>Unknown - Unscored</v>
      </c>
      <c r="T56" s="56" t="str">
        <f t="shared" si="7"/>
        <v>Unknown - Unscored</v>
      </c>
      <c r="U56" s="56" t="str">
        <f t="shared" si="8"/>
        <v>Unknown - Unscored</v>
      </c>
      <c r="V56" s="56" t="str">
        <f t="shared" si="9"/>
        <v>Unknown - Unscored</v>
      </c>
      <c r="W56" s="56" t="e">
        <f t="shared" si="10"/>
        <v>#DIV/0!</v>
      </c>
      <c r="X56" s="61" t="e">
        <f t="shared" si="11"/>
        <v>#DIV/0!</v>
      </c>
    </row>
    <row r="57" spans="2:24" x14ac:dyDescent="0.2">
      <c r="N57" s="57">
        <v>12.1</v>
      </c>
      <c r="O57" s="57" t="s">
        <v>333</v>
      </c>
      <c r="P57" s="57" t="s">
        <v>334</v>
      </c>
      <c r="Q57" s="57" t="s">
        <v>331</v>
      </c>
      <c r="R57" s="57" t="s">
        <v>335</v>
      </c>
      <c r="S57" s="57">
        <f t="shared" si="6"/>
        <v>1</v>
      </c>
      <c r="T57" s="57">
        <f t="shared" si="7"/>
        <v>1</v>
      </c>
      <c r="U57" s="57">
        <f t="shared" si="8"/>
        <v>2</v>
      </c>
      <c r="V57" s="57">
        <f t="shared" si="9"/>
        <v>1</v>
      </c>
      <c r="W57" s="57">
        <f t="shared" si="10"/>
        <v>1</v>
      </c>
      <c r="X57" s="62">
        <f t="shared" si="11"/>
        <v>1</v>
      </c>
    </row>
    <row r="58" spans="2:24" x14ac:dyDescent="0.2">
      <c r="N58" s="56">
        <v>14.1</v>
      </c>
      <c r="O58" s="56" t="s">
        <v>333</v>
      </c>
      <c r="P58" s="56" t="s">
        <v>334</v>
      </c>
      <c r="Q58" s="56" t="s">
        <v>337</v>
      </c>
      <c r="R58" s="56" t="s">
        <v>335</v>
      </c>
      <c r="S58" s="56">
        <f t="shared" si="6"/>
        <v>1</v>
      </c>
      <c r="T58" s="56">
        <f t="shared" si="7"/>
        <v>1</v>
      </c>
      <c r="U58" s="56">
        <f t="shared" si="8"/>
        <v>1</v>
      </c>
      <c r="V58" s="56">
        <f t="shared" si="9"/>
        <v>1</v>
      </c>
      <c r="W58" s="56">
        <f t="shared" si="10"/>
        <v>1</v>
      </c>
      <c r="X58" s="61">
        <f t="shared" si="11"/>
        <v>1</v>
      </c>
    </row>
    <row r="59" spans="2:24" x14ac:dyDescent="0.2">
      <c r="N59" s="57">
        <v>14.2</v>
      </c>
      <c r="O59" s="57" t="s">
        <v>315</v>
      </c>
      <c r="P59" s="57" t="s">
        <v>316</v>
      </c>
      <c r="Q59" s="57" t="s">
        <v>327</v>
      </c>
      <c r="R59" s="57" t="s">
        <v>323</v>
      </c>
      <c r="S59" s="57">
        <f t="shared" si="6"/>
        <v>5</v>
      </c>
      <c r="T59" s="57">
        <f t="shared" si="7"/>
        <v>4</v>
      </c>
      <c r="U59" s="57">
        <f t="shared" si="8"/>
        <v>4</v>
      </c>
      <c r="V59" s="57">
        <f t="shared" si="9"/>
        <v>4</v>
      </c>
      <c r="W59" s="57">
        <f t="shared" si="10"/>
        <v>4</v>
      </c>
      <c r="X59" s="62">
        <f t="shared" si="11"/>
        <v>4</v>
      </c>
    </row>
    <row r="60" spans="2:24" x14ac:dyDescent="0.2">
      <c r="N60" s="56">
        <v>14.3</v>
      </c>
      <c r="O60" s="56" t="s">
        <v>338</v>
      </c>
      <c r="P60" s="56" t="s">
        <v>316</v>
      </c>
      <c r="Q60" s="56" t="s">
        <v>317</v>
      </c>
      <c r="R60" s="56" t="s">
        <v>318</v>
      </c>
      <c r="S60" s="56">
        <f t="shared" si="6"/>
        <v>4</v>
      </c>
      <c r="T60" s="56">
        <f t="shared" si="7"/>
        <v>4</v>
      </c>
      <c r="U60" s="56">
        <f t="shared" si="8"/>
        <v>5</v>
      </c>
      <c r="V60" s="56">
        <f t="shared" si="9"/>
        <v>3</v>
      </c>
      <c r="W60" s="56">
        <f t="shared" si="10"/>
        <v>4</v>
      </c>
      <c r="X60" s="61">
        <f t="shared" si="11"/>
        <v>4</v>
      </c>
    </row>
    <row r="61" spans="2:24" x14ac:dyDescent="0.2">
      <c r="N61" s="57">
        <v>14.4</v>
      </c>
      <c r="O61" s="57" t="s">
        <v>320</v>
      </c>
      <c r="P61" s="57" t="s">
        <v>316</v>
      </c>
      <c r="Q61" s="57" t="s">
        <v>327</v>
      </c>
      <c r="R61" s="57" t="s">
        <v>326</v>
      </c>
      <c r="S61" s="57">
        <f t="shared" si="6"/>
        <v>3</v>
      </c>
      <c r="T61" s="57">
        <f t="shared" si="7"/>
        <v>4</v>
      </c>
      <c r="U61" s="57">
        <f t="shared" si="8"/>
        <v>4</v>
      </c>
      <c r="V61" s="57">
        <f t="shared" si="9"/>
        <v>5</v>
      </c>
      <c r="W61" s="57">
        <f t="shared" si="10"/>
        <v>4</v>
      </c>
      <c r="X61" s="62">
        <f t="shared" si="11"/>
        <v>4</v>
      </c>
    </row>
    <row r="62" spans="2:24" x14ac:dyDescent="0.2">
      <c r="N62" s="56">
        <v>14.5</v>
      </c>
      <c r="O62" s="56" t="s">
        <v>338</v>
      </c>
      <c r="P62" s="56" t="s">
        <v>325</v>
      </c>
      <c r="Q62" s="56" t="s">
        <v>327</v>
      </c>
      <c r="R62" s="56" t="s">
        <v>326</v>
      </c>
      <c r="S62" s="56">
        <f t="shared" si="6"/>
        <v>4</v>
      </c>
      <c r="T62" s="56">
        <f t="shared" si="7"/>
        <v>5</v>
      </c>
      <c r="U62" s="56">
        <f t="shared" si="8"/>
        <v>4</v>
      </c>
      <c r="V62" s="56">
        <f t="shared" si="9"/>
        <v>5</v>
      </c>
      <c r="W62" s="56">
        <f t="shared" si="10"/>
        <v>5</v>
      </c>
      <c r="X62" s="61">
        <f t="shared" si="11"/>
        <v>5</v>
      </c>
    </row>
    <row r="63" spans="2:24" x14ac:dyDescent="0.2">
      <c r="N63" s="57">
        <v>14.6</v>
      </c>
      <c r="O63" s="57" t="s">
        <v>338</v>
      </c>
      <c r="P63" s="57" t="s">
        <v>325</v>
      </c>
      <c r="Q63" s="57" t="s">
        <v>317</v>
      </c>
      <c r="R63" s="57" t="s">
        <v>326</v>
      </c>
      <c r="S63" s="57">
        <f t="shared" si="6"/>
        <v>4</v>
      </c>
      <c r="T63" s="57">
        <f t="shared" si="7"/>
        <v>5</v>
      </c>
      <c r="U63" s="57">
        <f t="shared" si="8"/>
        <v>5</v>
      </c>
      <c r="V63" s="57">
        <f t="shared" si="9"/>
        <v>5</v>
      </c>
      <c r="W63" s="57">
        <f t="shared" si="10"/>
        <v>5</v>
      </c>
      <c r="X63" s="62">
        <f t="shared" si="11"/>
        <v>5</v>
      </c>
    </row>
    <row r="64" spans="2:24" x14ac:dyDescent="0.2">
      <c r="N64" s="56">
        <v>14.7</v>
      </c>
      <c r="O64" s="56" t="s">
        <v>315</v>
      </c>
      <c r="P64" s="56" t="s">
        <v>316</v>
      </c>
      <c r="Q64" s="56" t="s">
        <v>317</v>
      </c>
      <c r="R64" s="56" t="s">
        <v>323</v>
      </c>
      <c r="S64" s="56">
        <f t="shared" si="6"/>
        <v>5</v>
      </c>
      <c r="T64" s="56">
        <f t="shared" si="7"/>
        <v>4</v>
      </c>
      <c r="U64" s="56">
        <f t="shared" si="8"/>
        <v>5</v>
      </c>
      <c r="V64" s="56">
        <f t="shared" si="9"/>
        <v>4</v>
      </c>
      <c r="W64" s="56">
        <f t="shared" si="10"/>
        <v>5</v>
      </c>
      <c r="X64" s="61">
        <f t="shared" si="11"/>
        <v>5</v>
      </c>
    </row>
    <row r="65" spans="14:24" x14ac:dyDescent="0.2">
      <c r="N65" s="57">
        <v>14.8</v>
      </c>
      <c r="O65" s="57" t="s">
        <v>320</v>
      </c>
      <c r="P65" s="57" t="s">
        <v>316</v>
      </c>
      <c r="Q65" s="57" t="s">
        <v>327</v>
      </c>
      <c r="R65" s="57" t="s">
        <v>326</v>
      </c>
      <c r="S65" s="57">
        <f t="shared" si="6"/>
        <v>3</v>
      </c>
      <c r="T65" s="57">
        <f t="shared" si="7"/>
        <v>4</v>
      </c>
      <c r="U65" s="57">
        <f t="shared" si="8"/>
        <v>4</v>
      </c>
      <c r="V65" s="57">
        <f t="shared" si="9"/>
        <v>5</v>
      </c>
      <c r="W65" s="57">
        <f t="shared" si="10"/>
        <v>4</v>
      </c>
      <c r="X65" s="62">
        <f t="shared" si="11"/>
        <v>4</v>
      </c>
    </row>
    <row r="66" spans="14:24" x14ac:dyDescent="0.2">
      <c r="N66" s="56">
        <v>15.1</v>
      </c>
      <c r="O66" s="56" t="s">
        <v>338</v>
      </c>
      <c r="P66" s="56" t="s">
        <v>325</v>
      </c>
      <c r="Q66" s="56" t="s">
        <v>327</v>
      </c>
      <c r="R66" s="56" t="s">
        <v>326</v>
      </c>
      <c r="S66" s="56">
        <f t="shared" si="6"/>
        <v>4</v>
      </c>
      <c r="T66" s="56">
        <f t="shared" si="7"/>
        <v>5</v>
      </c>
      <c r="U66" s="56">
        <f t="shared" si="8"/>
        <v>4</v>
      </c>
      <c r="V66" s="56">
        <f t="shared" si="9"/>
        <v>5</v>
      </c>
      <c r="W66" s="56">
        <f t="shared" si="10"/>
        <v>5</v>
      </c>
      <c r="X66" s="61">
        <f t="shared" si="11"/>
        <v>5</v>
      </c>
    </row>
    <row r="67" spans="14:24" x14ac:dyDescent="0.2">
      <c r="N67" s="57">
        <v>17.100000000000001</v>
      </c>
      <c r="O67" s="57" t="s">
        <v>338</v>
      </c>
      <c r="P67" s="57" t="s">
        <v>325</v>
      </c>
      <c r="Q67" s="57" t="s">
        <v>317</v>
      </c>
      <c r="R67" s="57" t="s">
        <v>326</v>
      </c>
      <c r="S67" s="57">
        <f t="shared" si="6"/>
        <v>4</v>
      </c>
      <c r="T67" s="57">
        <f t="shared" si="7"/>
        <v>5</v>
      </c>
      <c r="U67" s="57">
        <f t="shared" si="8"/>
        <v>5</v>
      </c>
      <c r="V67" s="57">
        <f t="shared" si="9"/>
        <v>5</v>
      </c>
      <c r="W67" s="57">
        <f t="shared" si="10"/>
        <v>5</v>
      </c>
      <c r="X67" s="62">
        <f t="shared" si="11"/>
        <v>5</v>
      </c>
    </row>
    <row r="68" spans="14:24" x14ac:dyDescent="0.2">
      <c r="N68" s="56">
        <v>17.2</v>
      </c>
      <c r="O68" s="56" t="s">
        <v>333</v>
      </c>
      <c r="P68" s="56" t="s">
        <v>334</v>
      </c>
      <c r="Q68" s="56" t="s">
        <v>331</v>
      </c>
      <c r="R68" s="56" t="s">
        <v>335</v>
      </c>
      <c r="S68" s="56">
        <f t="shared" si="6"/>
        <v>1</v>
      </c>
      <c r="T68" s="56">
        <f t="shared" si="7"/>
        <v>1</v>
      </c>
      <c r="U68" s="56">
        <f t="shared" si="8"/>
        <v>2</v>
      </c>
      <c r="V68" s="56">
        <f t="shared" si="9"/>
        <v>1</v>
      </c>
      <c r="W68" s="56">
        <f t="shared" si="10"/>
        <v>1</v>
      </c>
      <c r="X68" s="61">
        <f t="shared" si="11"/>
        <v>1</v>
      </c>
    </row>
    <row r="69" spans="14:24" ht="13.5" thickBot="1" x14ac:dyDescent="0.25">
      <c r="N69" s="59">
        <v>17.3</v>
      </c>
      <c r="O69" s="59" t="s">
        <v>333</v>
      </c>
      <c r="P69" s="59" t="s">
        <v>334</v>
      </c>
      <c r="Q69" s="59" t="s">
        <v>337</v>
      </c>
      <c r="R69" s="59" t="s">
        <v>335</v>
      </c>
      <c r="S69" s="59">
        <f t="shared" si="6"/>
        <v>1</v>
      </c>
      <c r="T69" s="59">
        <f t="shared" si="7"/>
        <v>1</v>
      </c>
      <c r="U69" s="59">
        <f t="shared" si="8"/>
        <v>1</v>
      </c>
      <c r="V69" s="59">
        <f t="shared" si="9"/>
        <v>1</v>
      </c>
      <c r="W69" s="59">
        <f t="shared" si="10"/>
        <v>1</v>
      </c>
      <c r="X69" s="64">
        <f t="shared" si="11"/>
        <v>1</v>
      </c>
    </row>
  </sheetData>
  <sheetProtection sheet="1" objects="1" scenarios="1"/>
  <mergeCells count="10">
    <mergeCell ref="X12:X13"/>
    <mergeCell ref="B1:W1"/>
    <mergeCell ref="C12:F12"/>
    <mergeCell ref="G12:J12"/>
    <mergeCell ref="K12:K13"/>
    <mergeCell ref="L12:L13"/>
    <mergeCell ref="O12:R12"/>
    <mergeCell ref="S12:V12"/>
    <mergeCell ref="W12:W13"/>
    <mergeCell ref="I3:O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3A3B-D08E-4310-ADD9-B005733ADE2B}">
  <sheetPr>
    <tabColor rgb="FF003B5C"/>
  </sheetPr>
  <dimension ref="A3:E45"/>
  <sheetViews>
    <sheetView showGridLines="0" workbookViewId="0"/>
  </sheetViews>
  <sheetFormatPr defaultColWidth="8.85546875" defaultRowHeight="15" x14ac:dyDescent="0.25"/>
  <cols>
    <col min="1" max="1" width="72.85546875" style="50" customWidth="1"/>
    <col min="2" max="2" width="93.7109375" style="70" customWidth="1"/>
    <col min="5" max="5" width="83.140625" style="203" customWidth="1"/>
  </cols>
  <sheetData>
    <row r="3" spans="1:2" ht="157.5" x14ac:dyDescent="0.25">
      <c r="B3" s="70" t="s">
        <v>413</v>
      </c>
    </row>
    <row r="4" spans="1:2" x14ac:dyDescent="0.25">
      <c r="B4" s="71" t="s">
        <v>345</v>
      </c>
    </row>
    <row r="8" spans="1:2" ht="42" customHeight="1" x14ac:dyDescent="0.35">
      <c r="A8" s="72"/>
      <c r="B8" s="70" t="s">
        <v>387</v>
      </c>
    </row>
    <row r="9" spans="1:2" x14ac:dyDescent="0.25">
      <c r="B9" s="71" t="s">
        <v>345</v>
      </c>
    </row>
    <row r="14" spans="1:2" ht="29.25" x14ac:dyDescent="0.25">
      <c r="B14" s="70" t="s">
        <v>386</v>
      </c>
    </row>
    <row r="15" spans="1:2" x14ac:dyDescent="0.25">
      <c r="B15" s="71" t="s">
        <v>346</v>
      </c>
    </row>
    <row r="26" spans="2:2" x14ac:dyDescent="0.25">
      <c r="B26" s="206" t="s">
        <v>414</v>
      </c>
    </row>
    <row r="28" spans="2:2" ht="57.75" x14ac:dyDescent="0.25">
      <c r="B28" s="200" t="s">
        <v>415</v>
      </c>
    </row>
    <row r="30" spans="2:2" x14ac:dyDescent="0.25">
      <c r="B30" s="200" t="s">
        <v>416</v>
      </c>
    </row>
    <row r="32" spans="2:2" ht="43.5" x14ac:dyDescent="0.25">
      <c r="B32" s="200" t="s">
        <v>417</v>
      </c>
    </row>
    <row r="33" spans="2:2" x14ac:dyDescent="0.25">
      <c r="B33" s="201" t="s">
        <v>418</v>
      </c>
    </row>
    <row r="35" spans="2:2" ht="143.25" x14ac:dyDescent="0.25">
      <c r="B35" s="200" t="s">
        <v>419</v>
      </c>
    </row>
    <row r="36" spans="2:2" x14ac:dyDescent="0.25">
      <c r="B36" s="205" t="s">
        <v>420</v>
      </c>
    </row>
    <row r="37" spans="2:2" x14ac:dyDescent="0.25">
      <c r="B37" s="205"/>
    </row>
    <row r="38" spans="2:2" x14ac:dyDescent="0.25">
      <c r="B38" s="205"/>
    </row>
    <row r="39" spans="2:2" x14ac:dyDescent="0.25">
      <c r="B39" s="202"/>
    </row>
    <row r="40" spans="2:2" x14ac:dyDescent="0.25">
      <c r="B40" s="202"/>
    </row>
    <row r="41" spans="2:2" x14ac:dyDescent="0.25">
      <c r="B41" s="202"/>
    </row>
    <row r="42" spans="2:2" x14ac:dyDescent="0.25">
      <c r="B42" s="203"/>
    </row>
    <row r="43" spans="2:2" ht="17.25" x14ac:dyDescent="0.25">
      <c r="B43" s="204"/>
    </row>
    <row r="44" spans="2:2" x14ac:dyDescent="0.25">
      <c r="B44" s="203"/>
    </row>
    <row r="45" spans="2:2" ht="17.25" x14ac:dyDescent="0.25">
      <c r="B45" s="204"/>
    </row>
  </sheetData>
  <sheetProtection sheet="1" objects="1" scenarios="1"/>
  <hyperlinks>
    <hyperlink ref="B15" r:id="rId1" xr:uid="{FF94F89F-EA23-4037-A6CB-94A53049C400}"/>
    <hyperlink ref="B9" r:id="rId2" xr:uid="{73F7DEE6-DB01-4C07-AA9B-F524F7FBBC6B}"/>
    <hyperlink ref="B4" r:id="rId3" xr:uid="{93E01329-A2B0-49D8-9E6D-18F5DA146AFC}"/>
    <hyperlink ref="B33" r:id="rId4" xr:uid="{2C2FFDFD-CFD5-4CDE-80B1-E85386901E01}"/>
    <hyperlink ref="B36" r:id="rId5" xr:uid="{94B5C270-AFD7-4420-BAE7-6BBDF6B43803}"/>
  </hyperlink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08B4A-980B-4DCB-9598-9D7CEE2DB524}">
  <sheetPr>
    <tabColor rgb="FF0070C0"/>
  </sheetPr>
  <dimension ref="B2:AE76"/>
  <sheetViews>
    <sheetView showGridLines="0" zoomScaleNormal="100" workbookViewId="0">
      <selection activeCell="B2" sqref="B2:B4"/>
    </sheetView>
  </sheetViews>
  <sheetFormatPr defaultColWidth="9.140625" defaultRowHeight="12.75" x14ac:dyDescent="0.2"/>
  <cols>
    <col min="1" max="1" width="9.140625" style="2"/>
    <col min="2" max="2" width="21.5703125" style="2" bestFit="1" customWidth="1"/>
    <col min="3" max="3" width="20.7109375" style="17" customWidth="1"/>
    <col min="4" max="6" width="20.7109375" style="2" customWidth="1"/>
    <col min="7" max="12" width="12" style="2" customWidth="1"/>
    <col min="13" max="13" width="12.140625" style="2" customWidth="1"/>
    <col min="14" max="14" width="20.5703125" style="2" customWidth="1"/>
    <col min="15" max="15" width="26.42578125" style="2" customWidth="1"/>
    <col min="16" max="16" width="55.28515625" style="2" customWidth="1"/>
    <col min="17" max="18" width="22.42578125" style="2" customWidth="1"/>
    <col min="19" max="19" width="18.140625" style="2" customWidth="1"/>
    <col min="20" max="20" width="20.42578125" style="2" customWidth="1"/>
    <col min="21" max="26" width="15.5703125" style="2" customWidth="1"/>
    <col min="27" max="27" width="16.5703125" style="2" customWidth="1"/>
    <col min="28" max="28" width="12.85546875" style="2" customWidth="1"/>
    <col min="29" max="29" width="20.140625" style="2" customWidth="1"/>
    <col min="30" max="30" width="9.140625" style="2"/>
    <col min="31" max="31" width="14.140625" style="2" bestFit="1" customWidth="1"/>
    <col min="32" max="16384" width="9.140625" style="2"/>
  </cols>
  <sheetData>
    <row r="2" spans="2:14" x14ac:dyDescent="0.2">
      <c r="B2" s="251" t="s">
        <v>431</v>
      </c>
      <c r="C2" s="1" t="s">
        <v>152</v>
      </c>
      <c r="D2" s="254"/>
      <c r="E2" s="254"/>
    </row>
    <row r="3" spans="2:14" x14ac:dyDescent="0.2">
      <c r="B3" s="252"/>
      <c r="C3" s="1" t="s">
        <v>53</v>
      </c>
      <c r="D3" s="254"/>
      <c r="E3" s="254"/>
    </row>
    <row r="4" spans="2:14" x14ac:dyDescent="0.2">
      <c r="B4" s="253"/>
      <c r="C4" s="1" t="s">
        <v>54</v>
      </c>
      <c r="D4" s="255"/>
      <c r="E4" s="254"/>
    </row>
    <row r="6" spans="2:14" x14ac:dyDescent="0.2">
      <c r="B6" s="3"/>
      <c r="C6" s="4"/>
      <c r="D6" s="4"/>
      <c r="E6" s="4"/>
      <c r="F6" s="4"/>
      <c r="G6" s="4"/>
      <c r="H6" s="4"/>
      <c r="I6" s="4"/>
      <c r="J6" s="4"/>
      <c r="K6" s="4"/>
      <c r="L6" s="4"/>
      <c r="M6" s="4"/>
      <c r="N6" s="4"/>
    </row>
    <row r="8" spans="2:14" x14ac:dyDescent="0.2">
      <c r="B8" s="5" t="s">
        <v>48</v>
      </c>
      <c r="C8" s="256"/>
      <c r="D8" s="256"/>
      <c r="E8" s="256"/>
      <c r="F8" s="256"/>
      <c r="H8" s="257"/>
      <c r="I8" s="257"/>
    </row>
    <row r="9" spans="2:14" x14ac:dyDescent="0.2">
      <c r="C9" s="2"/>
      <c r="H9" s="257"/>
      <c r="I9" s="257"/>
    </row>
    <row r="10" spans="2:14" ht="25.5" x14ac:dyDescent="0.2">
      <c r="B10" s="6" t="s">
        <v>5</v>
      </c>
      <c r="C10" s="7" t="s">
        <v>6</v>
      </c>
      <c r="D10" s="7" t="s">
        <v>153</v>
      </c>
      <c r="E10" s="47" t="s">
        <v>154</v>
      </c>
      <c r="F10" s="7" t="s">
        <v>52</v>
      </c>
      <c r="H10" s="257"/>
      <c r="I10" s="257"/>
    </row>
    <row r="11" spans="2:14" ht="38.25" x14ac:dyDescent="0.2">
      <c r="B11" s="8" t="s">
        <v>4</v>
      </c>
      <c r="C11" s="38"/>
      <c r="D11" s="38"/>
      <c r="E11" s="39" t="s">
        <v>67</v>
      </c>
      <c r="F11" s="38"/>
      <c r="H11" s="257"/>
      <c r="I11" s="257"/>
    </row>
    <row r="12" spans="2:14" ht="25.5" x14ac:dyDescent="0.2">
      <c r="B12" s="9" t="s">
        <v>61</v>
      </c>
      <c r="C12" s="10" t="s">
        <v>56</v>
      </c>
      <c r="D12" s="10" t="s">
        <v>58</v>
      </c>
      <c r="E12" s="11"/>
      <c r="F12" s="10" t="s">
        <v>64</v>
      </c>
      <c r="H12" s="257"/>
      <c r="I12" s="257"/>
    </row>
    <row r="13" spans="2:14" ht="51" x14ac:dyDescent="0.2">
      <c r="B13" s="9" t="s">
        <v>62</v>
      </c>
      <c r="C13" s="10" t="s">
        <v>57</v>
      </c>
      <c r="D13" s="10" t="s">
        <v>59</v>
      </c>
      <c r="E13" s="11"/>
      <c r="F13" s="10" t="s">
        <v>65</v>
      </c>
      <c r="H13" s="257"/>
      <c r="I13" s="257"/>
    </row>
    <row r="14" spans="2:14" ht="38.25" x14ac:dyDescent="0.2">
      <c r="B14" s="9" t="s">
        <v>63</v>
      </c>
      <c r="C14" s="10" t="s">
        <v>55</v>
      </c>
      <c r="D14" s="10" t="s">
        <v>60</v>
      </c>
      <c r="E14" s="12"/>
      <c r="F14" s="10" t="s">
        <v>66</v>
      </c>
      <c r="H14" s="257"/>
      <c r="I14" s="257"/>
    </row>
    <row r="16" spans="2:14" x14ac:dyDescent="0.2">
      <c r="B16" s="3"/>
      <c r="C16" s="4"/>
      <c r="D16" s="4"/>
      <c r="E16" s="4"/>
      <c r="F16" s="4"/>
      <c r="G16" s="4"/>
      <c r="H16" s="4"/>
      <c r="I16" s="4"/>
      <c r="J16" s="4"/>
      <c r="K16" s="4"/>
      <c r="L16" s="4"/>
      <c r="M16" s="4"/>
      <c r="N16" s="4"/>
    </row>
    <row r="18" spans="2:31" ht="89.25" customHeight="1" x14ac:dyDescent="0.2">
      <c r="B18" s="5" t="s">
        <v>69</v>
      </c>
      <c r="C18" s="260" t="s">
        <v>390</v>
      </c>
      <c r="D18" s="261"/>
      <c r="E18" s="262"/>
      <c r="H18" s="258"/>
    </row>
    <row r="19" spans="2:31" x14ac:dyDescent="0.2">
      <c r="B19" s="13"/>
      <c r="C19" s="14"/>
      <c r="D19" s="14"/>
      <c r="E19" s="14"/>
      <c r="H19" s="258"/>
    </row>
    <row r="20" spans="2:31" ht="25.5" x14ac:dyDescent="0.2">
      <c r="B20" s="6" t="s">
        <v>51</v>
      </c>
      <c r="C20" s="7" t="s">
        <v>46</v>
      </c>
      <c r="D20" s="7" t="s">
        <v>155</v>
      </c>
      <c r="E20" s="7" t="s">
        <v>47</v>
      </c>
      <c r="F20" s="259"/>
      <c r="G20" s="259"/>
      <c r="H20" s="258"/>
    </row>
    <row r="21" spans="2:31" x14ac:dyDescent="0.2">
      <c r="B21" s="9" t="s">
        <v>151</v>
      </c>
      <c r="C21" s="40"/>
      <c r="D21" s="40"/>
      <c r="E21" s="40"/>
      <c r="F21" s="259"/>
      <c r="G21" s="259"/>
      <c r="H21" s="258"/>
    </row>
    <row r="22" spans="2:31" x14ac:dyDescent="0.2">
      <c r="B22" s="16" t="s">
        <v>147</v>
      </c>
      <c r="C22" s="15"/>
      <c r="D22" s="15"/>
      <c r="E22" s="15"/>
      <c r="F22" s="259"/>
      <c r="G22" s="259"/>
      <c r="H22" s="258"/>
    </row>
    <row r="23" spans="2:31" x14ac:dyDescent="0.2">
      <c r="B23" s="16" t="s">
        <v>148</v>
      </c>
      <c r="C23" s="15"/>
      <c r="D23" s="15"/>
      <c r="E23" s="15"/>
      <c r="F23" s="259"/>
      <c r="G23" s="259"/>
      <c r="H23" s="258"/>
    </row>
    <row r="24" spans="2:31" x14ac:dyDescent="0.2">
      <c r="B24" s="16" t="s">
        <v>146</v>
      </c>
      <c r="C24" s="15"/>
      <c r="D24" s="15"/>
      <c r="E24" s="15"/>
      <c r="F24" s="259"/>
      <c r="G24" s="259"/>
      <c r="H24" s="258"/>
    </row>
    <row r="25" spans="2:31" x14ac:dyDescent="0.2">
      <c r="B25" s="16" t="s">
        <v>149</v>
      </c>
      <c r="C25" s="15"/>
      <c r="D25" s="15"/>
      <c r="E25" s="15"/>
      <c r="F25" s="259"/>
      <c r="G25" s="259"/>
      <c r="H25" s="258"/>
    </row>
    <row r="26" spans="2:31" x14ac:dyDescent="0.2">
      <c r="B26" s="16" t="s">
        <v>150</v>
      </c>
      <c r="C26" s="15"/>
      <c r="D26" s="15"/>
      <c r="E26" s="15"/>
      <c r="F26" s="259"/>
      <c r="G26" s="259"/>
      <c r="H26" s="258"/>
    </row>
    <row r="29" spans="2:31" x14ac:dyDescent="0.2">
      <c r="B29" s="3"/>
      <c r="C29" s="4"/>
      <c r="D29" s="4"/>
      <c r="E29" s="4"/>
      <c r="F29" s="4"/>
      <c r="G29" s="4"/>
      <c r="H29" s="4"/>
      <c r="I29" s="4"/>
      <c r="J29" s="4"/>
      <c r="K29" s="4"/>
      <c r="L29" s="4"/>
      <c r="M29" s="4"/>
      <c r="N29" s="4"/>
      <c r="O29" s="4"/>
      <c r="P29" s="4"/>
      <c r="Q29" s="4"/>
      <c r="R29" s="4"/>
      <c r="S29" s="4"/>
      <c r="T29" s="4"/>
      <c r="U29" s="4"/>
      <c r="V29" s="4"/>
      <c r="W29" s="4"/>
      <c r="X29" s="4"/>
      <c r="Y29" s="4"/>
      <c r="Z29" s="4"/>
      <c r="AA29" s="4"/>
    </row>
    <row r="31" spans="2:31" ht="25.5" x14ac:dyDescent="0.2">
      <c r="B31" s="34" t="s">
        <v>68</v>
      </c>
      <c r="C31" s="248" t="s">
        <v>267</v>
      </c>
      <c r="D31" s="249"/>
      <c r="E31" s="249"/>
      <c r="F31" s="249"/>
      <c r="G31" s="249"/>
      <c r="H31" s="249"/>
      <c r="I31" s="249"/>
      <c r="J31" s="249"/>
      <c r="K31" s="249"/>
      <c r="L31" s="250"/>
      <c r="M31" s="34" t="s">
        <v>68</v>
      </c>
      <c r="N31" s="248" t="s">
        <v>265</v>
      </c>
      <c r="O31" s="249"/>
      <c r="P31" s="249"/>
      <c r="Q31" s="249"/>
      <c r="R31" s="249"/>
      <c r="S31" s="249"/>
      <c r="T31" s="249"/>
      <c r="U31" s="249"/>
      <c r="V31" s="249"/>
      <c r="W31" s="249"/>
      <c r="X31" s="249"/>
      <c r="Y31" s="249"/>
      <c r="Z31" s="249"/>
      <c r="AA31" s="250"/>
      <c r="AC31" s="247" t="s">
        <v>432</v>
      </c>
      <c r="AD31" s="247"/>
      <c r="AE31" s="247"/>
    </row>
    <row r="33" spans="2:31" s="20" customFormat="1" ht="63.75" x14ac:dyDescent="0.2">
      <c r="B33" s="18" t="s">
        <v>168</v>
      </c>
      <c r="C33" s="18" t="s">
        <v>169</v>
      </c>
      <c r="D33" s="18" t="s">
        <v>51</v>
      </c>
      <c r="E33" s="43" t="s">
        <v>286</v>
      </c>
      <c r="F33" s="18" t="s">
        <v>49</v>
      </c>
      <c r="G33" s="18" t="s">
        <v>429</v>
      </c>
      <c r="H33" s="18" t="s">
        <v>0</v>
      </c>
      <c r="I33" s="18" t="s">
        <v>156</v>
      </c>
      <c r="J33" s="18" t="s">
        <v>1</v>
      </c>
      <c r="K33" s="18" t="s">
        <v>2</v>
      </c>
      <c r="L33" s="18" t="s">
        <v>3</v>
      </c>
      <c r="M33" s="7" t="s">
        <v>293</v>
      </c>
      <c r="N33" s="53" t="s">
        <v>70</v>
      </c>
      <c r="O33" s="53" t="s">
        <v>74</v>
      </c>
      <c r="P33" s="53" t="s">
        <v>75</v>
      </c>
      <c r="Q33" s="47" t="s">
        <v>171</v>
      </c>
      <c r="R33" s="7" t="s">
        <v>287</v>
      </c>
      <c r="S33" s="19" t="s">
        <v>430</v>
      </c>
      <c r="T33" s="19" t="s">
        <v>76</v>
      </c>
      <c r="U33" s="19" t="s">
        <v>157</v>
      </c>
      <c r="V33" s="19" t="s">
        <v>77</v>
      </c>
      <c r="W33" s="19" t="s">
        <v>79</v>
      </c>
      <c r="X33" s="19" t="s">
        <v>266</v>
      </c>
      <c r="Y33" s="47" t="s">
        <v>78</v>
      </c>
      <c r="Z33" s="47" t="s">
        <v>163</v>
      </c>
      <c r="AA33" s="47" t="s">
        <v>71</v>
      </c>
      <c r="AC33" s="21" t="s">
        <v>158</v>
      </c>
      <c r="AD33" s="21" t="s">
        <v>72</v>
      </c>
      <c r="AE33" s="21" t="s">
        <v>73</v>
      </c>
    </row>
    <row r="34" spans="2:31" ht="51" x14ac:dyDescent="0.2">
      <c r="B34" s="22">
        <v>1.4</v>
      </c>
      <c r="C34" s="23" t="s">
        <v>15</v>
      </c>
      <c r="D34" s="176" t="s">
        <v>147</v>
      </c>
      <c r="E34" s="25"/>
      <c r="F34" s="45">
        <f>IFERROR(VLOOKUP(tblRiskRegister[[#This Row],[Asset Class]],tblVCDBIndex[],4,FALSE),"")</f>
        <v>1</v>
      </c>
      <c r="G34" s="45" t="str">
        <f>IFERROR(VLOOKUP(10*tblRiskRegister[[#This Row],[Safeguard Maturity Score]]+tblRiskRegister[[#This Row],[VCDB Index]],tblHITIndexWeightTable[],4,FALSE),"")</f>
        <v/>
      </c>
      <c r="H34" s="45">
        <f>VLOOKUP(tblRiskRegister[[#This Row],[Asset Class]],tblImpactIndex[],2,FALSE)</f>
        <v>0</v>
      </c>
      <c r="I34" s="45">
        <f>VLOOKUP(tblRiskRegister[[#This Row],[Asset Class]],tblImpactIndex[],3,FALSE)</f>
        <v>0</v>
      </c>
      <c r="J34" s="45">
        <f>VLOOKUP(tblRiskRegister[[#This Row],[Asset Class]],tblImpactIndex[],4,FALSE)</f>
        <v>0</v>
      </c>
      <c r="K34" s="45" t="str">
        <f>IFERROR(MAX(tblRiskRegister[[#This Row],[Impact to Mission]:[Impact to Obligations]])*tblRiskRegister[[#This Row],[Expectancy Score]],"")</f>
        <v/>
      </c>
      <c r="L34" s="45" t="str">
        <f>tblRiskRegister[[#This Row],[Risk Score]]</f>
        <v/>
      </c>
      <c r="M34" s="214"/>
      <c r="N34" s="37">
        <v>1.4</v>
      </c>
      <c r="O34" s="24" t="s">
        <v>15</v>
      </c>
      <c r="P34" s="24" t="s">
        <v>172</v>
      </c>
      <c r="Q34" s="24"/>
      <c r="R34" s="25"/>
      <c r="S34" s="44" t="str">
        <f>IFERROR(VLOOKUP(10*tblRiskRegister[[#This Row],[Risk Treatment Safeguard Maturity Score]]+tblRiskRegister[[#This Row],[VCDB Index]],tblHITIndexWeightTable[],4,FALSE),"")</f>
        <v/>
      </c>
      <c r="T34" s="44">
        <f>VLOOKUP(tblRiskRegister[[#This Row],[Asset Class]],tblImpactIndex[],2,FALSE)</f>
        <v>0</v>
      </c>
      <c r="U34" s="44">
        <f>VLOOKUP(tblRiskRegister[[#This Row],[Asset Class]],tblImpactIndex[],3,FALSE)</f>
        <v>0</v>
      </c>
      <c r="V34" s="44">
        <f>VLOOKUP(tblRiskRegister[[#This Row],[Asset Class]],tblImpactIndex[],4,FALSE)</f>
        <v>0</v>
      </c>
      <c r="W34" s="44" t="str">
        <f>IFERROR(MAX(tblRiskRegister[[#This Row],[Risk Treatment Safeguard Impact to Mission]:[Risk Treatment Safeguard Impact to Obligations]])*tblRiskRegister[[#This Row],[Risk Treatment
Safeguard Expectancy Score]],"")</f>
        <v/>
      </c>
      <c r="X34" s="46" t="str">
        <f>IF(tblRiskRegister[[#This Row],[Risk Score]]&gt;5,IF(tblRiskRegister[[#This Row],[Risk Treatment Safeguard Risk Score]]&lt;6, IF(tblRiskRegister[[#This Row],[Risk Treatment Safeguard Risk Score]]&lt;=tblRiskRegister[[#This Row],[Risk Score]],"Yes","No"),"No"),"Yes")</f>
        <v>No</v>
      </c>
      <c r="Y34" s="26"/>
      <c r="Z34" s="26"/>
      <c r="AA34" s="27"/>
      <c r="AC34" s="28">
        <f>SUMIF(tblRiskRegister[[#All],[Implementation Year]],"="&amp;tblCostImpacts[[#This Row],[Year]],tblRiskRegister[[#All],[Risk Treatment Safeguard Cost]])</f>
        <v>0</v>
      </c>
      <c r="AD34" s="13">
        <v>2021</v>
      </c>
      <c r="AE34" s="13" t="str">
        <f>IF(tblCostImpacts[[#This Row],[Impact to Financial Objectives]]&lt;=$E$12,"Yes","No")</f>
        <v>Yes</v>
      </c>
    </row>
    <row r="35" spans="2:31" ht="38.25" x14ac:dyDescent="0.2">
      <c r="B35" s="22">
        <v>1.6</v>
      </c>
      <c r="C35" s="23" t="s">
        <v>16</v>
      </c>
      <c r="D35" s="176" t="s">
        <v>147</v>
      </c>
      <c r="E35" s="25"/>
      <c r="F35" s="45">
        <f>IFERROR(VLOOKUP(tblRiskRegister[[#This Row],[Asset Class]],tblVCDBIndex[],4,FALSE),"")</f>
        <v>1</v>
      </c>
      <c r="G35" s="45" t="str">
        <f>IFERROR(VLOOKUP(10*tblRiskRegister[[#This Row],[Safeguard Maturity Score]]+tblRiskRegister[[#This Row],[VCDB Index]],tblHITIndexWeightTable[],4,FALSE),"")</f>
        <v/>
      </c>
      <c r="H35" s="45">
        <f>VLOOKUP(tblRiskRegister[[#This Row],[Asset Class]],tblImpactIndex[],2,FALSE)</f>
        <v>0</v>
      </c>
      <c r="I35" s="45">
        <f>VLOOKUP(tblRiskRegister[[#This Row],[Asset Class]],tblImpactIndex[],3,FALSE)</f>
        <v>0</v>
      </c>
      <c r="J35" s="45">
        <f>VLOOKUP(tblRiskRegister[[#This Row],[Asset Class]],tblImpactIndex[],4,FALSE)</f>
        <v>0</v>
      </c>
      <c r="K35" s="45" t="str">
        <f>IFERROR(MAX(tblRiskRegister[[#This Row],[Impact to Mission]:[Impact to Obligations]])*tblRiskRegister[[#This Row],[Expectancy Score]],"")</f>
        <v/>
      </c>
      <c r="L35" s="45" t="str">
        <f>tblRiskRegister[[#This Row],[Risk Score]]</f>
        <v/>
      </c>
      <c r="M35" s="214"/>
      <c r="N35" s="37">
        <v>1.6</v>
      </c>
      <c r="O35" s="24" t="s">
        <v>16</v>
      </c>
      <c r="P35" s="24" t="s">
        <v>421</v>
      </c>
      <c r="Q35" s="24"/>
      <c r="R35" s="25"/>
      <c r="S35" s="46" t="str">
        <f>IFERROR(VLOOKUP(10*tblRiskRegister[[#This Row],[Risk Treatment Safeguard Maturity Score]]+tblRiskRegister[[#This Row],[VCDB Index]],tblHITIndexWeightTable[],4,FALSE),"")</f>
        <v/>
      </c>
      <c r="T35" s="46">
        <f>VLOOKUP(tblRiskRegister[[#This Row],[Asset Class]],tblImpactIndex[],2,FALSE)</f>
        <v>0</v>
      </c>
      <c r="U35" s="46">
        <f>VLOOKUP(tblRiskRegister[[#This Row],[Asset Class]],tblImpactIndex[],3,FALSE)</f>
        <v>0</v>
      </c>
      <c r="V35" s="46">
        <f>VLOOKUP(tblRiskRegister[[#This Row],[Asset Class]],tblImpactIndex[],4,FALSE)</f>
        <v>0</v>
      </c>
      <c r="W35" s="46" t="str">
        <f>IFERROR(MAX(tblRiskRegister[[#This Row],[Risk Treatment Safeguard Impact to Mission]:[Risk Treatment Safeguard Impact to Obligations]])*tblRiskRegister[[#This Row],[Risk Treatment
Safeguard Expectancy Score]],"")</f>
        <v/>
      </c>
      <c r="X35" s="46" t="str">
        <f>IF(tblRiskRegister[[#This Row],[Risk Score]]&gt;5,IF(tblRiskRegister[[#This Row],[Risk Treatment Safeguard Risk Score]]&lt;6, IF(tblRiskRegister[[#This Row],[Risk Treatment Safeguard Risk Score]]&lt;=tblRiskRegister[[#This Row],[Risk Score]],"Yes","No"),"No"),"Yes")</f>
        <v>No</v>
      </c>
      <c r="Y35" s="26"/>
      <c r="Z35" s="26"/>
      <c r="AA35" s="27"/>
      <c r="AC35" s="28">
        <f>SUMIF(tblRiskRegister[[#All],[Implementation Year]],"="&amp;tblCostImpacts[[#This Row],[Year]],tblRiskRegister[[#All],[Risk Treatment Safeguard Cost]])</f>
        <v>0</v>
      </c>
      <c r="AD35" s="13">
        <v>2022</v>
      </c>
      <c r="AE35" s="13" t="str">
        <f>IF(tblCostImpacts[[#This Row],[Impact to Financial Objectives]]&lt;=$E$12,"Yes","No")</f>
        <v>Yes</v>
      </c>
    </row>
    <row r="36" spans="2:31" ht="38.25" x14ac:dyDescent="0.2">
      <c r="B36" s="22">
        <v>2.1</v>
      </c>
      <c r="C36" s="23" t="s">
        <v>17</v>
      </c>
      <c r="D36" s="176" t="s">
        <v>148</v>
      </c>
      <c r="E36" s="25"/>
      <c r="F36" s="45">
        <f>IFERROR(VLOOKUP(tblRiskRegister[[#This Row],[Asset Class]],tblVCDBIndex[],4,FALSE),"")</f>
        <v>2</v>
      </c>
      <c r="G36" s="45" t="str">
        <f>IFERROR(VLOOKUP(10*tblRiskRegister[[#This Row],[Safeguard Maturity Score]]+tblRiskRegister[[#This Row],[VCDB Index]],tblHITIndexWeightTable[],4,FALSE),"")</f>
        <v/>
      </c>
      <c r="H36" s="45">
        <f>VLOOKUP(tblRiskRegister[[#This Row],[Asset Class]],tblImpactIndex[],2,FALSE)</f>
        <v>0</v>
      </c>
      <c r="I36" s="45">
        <f>VLOOKUP(tblRiskRegister[[#This Row],[Asset Class]],tblImpactIndex[],3,FALSE)</f>
        <v>0</v>
      </c>
      <c r="J36" s="45">
        <f>VLOOKUP(tblRiskRegister[[#This Row],[Asset Class]],tblImpactIndex[],4,FALSE)</f>
        <v>0</v>
      </c>
      <c r="K36" s="45" t="str">
        <f>IFERROR(MAX(tblRiskRegister[[#This Row],[Impact to Mission]:[Impact to Obligations]])*tblRiskRegister[[#This Row],[Expectancy Score]],"")</f>
        <v/>
      </c>
      <c r="L36" s="45" t="str">
        <f>tblRiskRegister[[#This Row],[Risk Score]]</f>
        <v/>
      </c>
      <c r="M36" s="214"/>
      <c r="N36" s="37">
        <v>2.1</v>
      </c>
      <c r="O36" s="24" t="s">
        <v>17</v>
      </c>
      <c r="P36" s="24" t="s">
        <v>173</v>
      </c>
      <c r="Q36" s="24"/>
      <c r="R36" s="25"/>
      <c r="S36" s="46" t="str">
        <f>IFERROR(VLOOKUP(10*tblRiskRegister[[#This Row],[Risk Treatment Safeguard Maturity Score]]+tblRiskRegister[[#This Row],[VCDB Index]],tblHITIndexWeightTable[],4,FALSE),"")</f>
        <v/>
      </c>
      <c r="T36" s="46">
        <f>VLOOKUP(tblRiskRegister[[#This Row],[Asset Class]],tblImpactIndex[],2,FALSE)</f>
        <v>0</v>
      </c>
      <c r="U36" s="46">
        <f>VLOOKUP(tblRiskRegister[[#This Row],[Asset Class]],tblImpactIndex[],3,FALSE)</f>
        <v>0</v>
      </c>
      <c r="V36" s="46">
        <f>VLOOKUP(tblRiskRegister[[#This Row],[Asset Class]],tblImpactIndex[],4,FALSE)</f>
        <v>0</v>
      </c>
      <c r="W36" s="46" t="str">
        <f>IFERROR(MAX(tblRiskRegister[[#This Row],[Risk Treatment Safeguard Impact to Mission]:[Risk Treatment Safeguard Impact to Obligations]])*tblRiskRegister[[#This Row],[Risk Treatment
Safeguard Expectancy Score]],"")</f>
        <v/>
      </c>
      <c r="X36" s="46" t="str">
        <f>IF(tblRiskRegister[[#This Row],[Risk Score]]&gt;5,IF(tblRiskRegister[[#This Row],[Risk Treatment Safeguard Risk Score]]&lt;6, IF(tblRiskRegister[[#This Row],[Risk Treatment Safeguard Risk Score]]&lt;=tblRiskRegister[[#This Row],[Risk Score]],"Yes","No"),"No"),"Yes")</f>
        <v>No</v>
      </c>
      <c r="Y36" s="26"/>
      <c r="Z36" s="26"/>
      <c r="AA36" s="27"/>
      <c r="AC36" s="28">
        <f>SUMIF(tblRiskRegister[[#All],[Implementation Year]],"="&amp;tblCostImpacts[[#This Row],[Year]],tblRiskRegister[[#All],[Risk Treatment Safeguard Cost]])</f>
        <v>0</v>
      </c>
      <c r="AD36" s="13">
        <v>2023</v>
      </c>
      <c r="AE36" s="13" t="str">
        <f>IF(tblCostImpacts[[#This Row],[Impact to Financial Objectives]]&lt;=$E$12,"Yes","No")</f>
        <v>Yes</v>
      </c>
    </row>
    <row r="37" spans="2:31" ht="63.75" x14ac:dyDescent="0.2">
      <c r="B37" s="22">
        <v>2.2000000000000002</v>
      </c>
      <c r="C37" s="23" t="s">
        <v>18</v>
      </c>
      <c r="D37" s="176" t="s">
        <v>148</v>
      </c>
      <c r="E37" s="25"/>
      <c r="F37" s="45">
        <f>IFERROR(VLOOKUP(tblRiskRegister[[#This Row],[Asset Class]],tblVCDBIndex[],4,FALSE),"")</f>
        <v>2</v>
      </c>
      <c r="G37" s="45" t="str">
        <f>IFERROR(VLOOKUP(10*tblRiskRegister[[#This Row],[Safeguard Maturity Score]]+tblRiskRegister[[#This Row],[VCDB Index]],tblHITIndexWeightTable[],4,FALSE),"")</f>
        <v/>
      </c>
      <c r="H37" s="45">
        <f>VLOOKUP(tblRiskRegister[[#This Row],[Asset Class]],tblImpactIndex[],2,FALSE)</f>
        <v>0</v>
      </c>
      <c r="I37" s="45">
        <f>VLOOKUP(tblRiskRegister[[#This Row],[Asset Class]],tblImpactIndex[],3,FALSE)</f>
        <v>0</v>
      </c>
      <c r="J37" s="45">
        <f>VLOOKUP(tblRiskRegister[[#This Row],[Asset Class]],tblImpactIndex[],4,FALSE)</f>
        <v>0</v>
      </c>
      <c r="K37" s="45" t="str">
        <f>IFERROR(MAX(tblRiskRegister[[#This Row],[Impact to Mission]:[Impact to Obligations]])*tblRiskRegister[[#This Row],[Expectancy Score]],"")</f>
        <v/>
      </c>
      <c r="L37" s="45" t="str">
        <f>tblRiskRegister[[#This Row],[Risk Score]]</f>
        <v/>
      </c>
      <c r="M37" s="214"/>
      <c r="N37" s="37">
        <v>2.2000000000000002</v>
      </c>
      <c r="O37" s="24" t="s">
        <v>18</v>
      </c>
      <c r="P37" s="24" t="s">
        <v>174</v>
      </c>
      <c r="Q37" s="24"/>
      <c r="R37" s="25"/>
      <c r="S37" s="46" t="str">
        <f>IFERROR(VLOOKUP(10*tblRiskRegister[[#This Row],[Risk Treatment Safeguard Maturity Score]]+tblRiskRegister[[#This Row],[VCDB Index]],tblHITIndexWeightTable[],4,FALSE),"")</f>
        <v/>
      </c>
      <c r="T37" s="46">
        <f>VLOOKUP(tblRiskRegister[[#This Row],[Asset Class]],tblImpactIndex[],2,FALSE)</f>
        <v>0</v>
      </c>
      <c r="U37" s="46">
        <f>VLOOKUP(tblRiskRegister[[#This Row],[Asset Class]],tblImpactIndex[],3,FALSE)</f>
        <v>0</v>
      </c>
      <c r="V37" s="46">
        <f>VLOOKUP(tblRiskRegister[[#This Row],[Asset Class]],tblImpactIndex[],4,FALSE)</f>
        <v>0</v>
      </c>
      <c r="W37" s="46" t="str">
        <f>IFERROR(MAX(tblRiskRegister[[#This Row],[Risk Treatment Safeguard Impact to Mission]:[Risk Treatment Safeguard Impact to Obligations]])*tblRiskRegister[[#This Row],[Risk Treatment
Safeguard Expectancy Score]],"")</f>
        <v/>
      </c>
      <c r="X37" s="46" t="str">
        <f>IF(tblRiskRegister[[#This Row],[Risk Score]]&gt;5,IF(tblRiskRegister[[#This Row],[Risk Treatment Safeguard Risk Score]]&lt;6, IF(tblRiskRegister[[#This Row],[Risk Treatment Safeguard Risk Score]]&lt;=tblRiskRegister[[#This Row],[Risk Score]],"Yes","No"),"No"),"Yes")</f>
        <v>No</v>
      </c>
      <c r="Y37" s="26"/>
      <c r="Z37" s="26"/>
      <c r="AA37" s="27"/>
      <c r="AC37" s="28">
        <f>SUMIF(tblRiskRegister[[#All],[Implementation Year]],"="&amp;tblCostImpacts[[#This Row],[Year]],tblRiskRegister[[#All],[Risk Treatment Safeguard Cost]])</f>
        <v>0</v>
      </c>
      <c r="AD37" s="13">
        <v>2024</v>
      </c>
      <c r="AE37" s="13" t="str">
        <f>IF(tblCostImpacts[[#This Row],[Impact to Financial Objectives]]&lt;=$E$12,"Yes","No")</f>
        <v>Yes</v>
      </c>
    </row>
    <row r="38" spans="2:31" ht="25.5" x14ac:dyDescent="0.2">
      <c r="B38" s="22">
        <v>2.6</v>
      </c>
      <c r="C38" s="23" t="s">
        <v>364</v>
      </c>
      <c r="D38" s="176" t="s">
        <v>148</v>
      </c>
      <c r="E38" s="25"/>
      <c r="F38" s="45">
        <f>IFERROR(VLOOKUP(tblRiskRegister[[#This Row],[Asset Class]],tblVCDBIndex[],4,FALSE),"")</f>
        <v>2</v>
      </c>
      <c r="G38" s="45" t="str">
        <f>IFERROR(VLOOKUP(10*tblRiskRegister[[#This Row],[Safeguard Maturity Score]]+tblRiskRegister[[#This Row],[VCDB Index]],tblHITIndexWeightTable[],4,FALSE),"")</f>
        <v/>
      </c>
      <c r="H38" s="45">
        <f>VLOOKUP(tblRiskRegister[[#This Row],[Asset Class]],tblImpactIndex[],2,FALSE)</f>
        <v>0</v>
      </c>
      <c r="I38" s="45">
        <f>VLOOKUP(tblRiskRegister[[#This Row],[Asset Class]],tblImpactIndex[],3,FALSE)</f>
        <v>0</v>
      </c>
      <c r="J38" s="45">
        <f>VLOOKUP(tblRiskRegister[[#This Row],[Asset Class]],tblImpactIndex[],4,FALSE)</f>
        <v>0</v>
      </c>
      <c r="K38" s="45" t="str">
        <f>IFERROR(MAX(tblRiskRegister[[#This Row],[Impact to Mission]:[Impact to Obligations]])*tblRiskRegister[[#This Row],[Expectancy Score]],"")</f>
        <v/>
      </c>
      <c r="L38" s="45" t="str">
        <f>tblRiskRegister[[#This Row],[Risk Score]]</f>
        <v/>
      </c>
      <c r="M38" s="214"/>
      <c r="N38" s="37">
        <v>2.6</v>
      </c>
      <c r="O38" s="24" t="s">
        <v>364</v>
      </c>
      <c r="P38" s="24" t="s">
        <v>422</v>
      </c>
      <c r="Q38" s="24"/>
      <c r="R38" s="25"/>
      <c r="S38" s="46" t="str">
        <f>IFERROR(VLOOKUP(10*tblRiskRegister[[#This Row],[Risk Treatment Safeguard Maturity Score]]+tblRiskRegister[[#This Row],[VCDB Index]],tblHITIndexWeightTable[],4,FALSE),"")</f>
        <v/>
      </c>
      <c r="T38" s="46">
        <f>VLOOKUP(tblRiskRegister[[#This Row],[Asset Class]],tblImpactIndex[],2,FALSE)</f>
        <v>0</v>
      </c>
      <c r="U38" s="46">
        <f>VLOOKUP(tblRiskRegister[[#This Row],[Asset Class]],tblImpactIndex[],3,FALSE)</f>
        <v>0</v>
      </c>
      <c r="V38" s="46">
        <f>VLOOKUP(tblRiskRegister[[#This Row],[Asset Class]],tblImpactIndex[],4,FALSE)</f>
        <v>0</v>
      </c>
      <c r="W38" s="46" t="str">
        <f>IFERROR(MAX(tblRiskRegister[[#This Row],[Risk Treatment Safeguard Impact to Mission]:[Risk Treatment Safeguard Impact to Obligations]])*tblRiskRegister[[#This Row],[Risk Treatment
Safeguard Expectancy Score]],"")</f>
        <v/>
      </c>
      <c r="X38" s="46" t="str">
        <f>IF(tblRiskRegister[[#This Row],[Risk Score]]&gt;5,IF(tblRiskRegister[[#This Row],[Risk Treatment Safeguard Risk Score]]&lt;6, IF(tblRiskRegister[[#This Row],[Risk Treatment Safeguard Risk Score]]&lt;=tblRiskRegister[[#This Row],[Risk Score]],"Yes","No"),"No"),"Yes")</f>
        <v>No</v>
      </c>
      <c r="Y38" s="26"/>
      <c r="Z38" s="26"/>
      <c r="AA38" s="27"/>
      <c r="AC38" s="28">
        <f>SUMIF(tblRiskRegister[[#All],[Implementation Year]],"="&amp;tblCostImpacts[[#This Row],[Year]],tblRiskRegister[[#All],[Risk Treatment Safeguard Cost]])</f>
        <v>0</v>
      </c>
      <c r="AD38" s="13">
        <v>2025</v>
      </c>
      <c r="AE38" s="13" t="str">
        <f>IF(tblCostImpacts[[#This Row],[Impact to Financial Objectives]]&lt;=$E$12,"Yes","No")</f>
        <v>Yes</v>
      </c>
    </row>
    <row r="39" spans="2:31" ht="51" x14ac:dyDescent="0.2">
      <c r="B39" s="22">
        <v>3.4</v>
      </c>
      <c r="C39" s="23" t="s">
        <v>19</v>
      </c>
      <c r="D39" s="176" t="s">
        <v>147</v>
      </c>
      <c r="E39" s="25"/>
      <c r="F39" s="45">
        <f>IFERROR(VLOOKUP(tblRiskRegister[[#This Row],[Asset Class]],tblVCDBIndex[],4,FALSE),"")</f>
        <v>1</v>
      </c>
      <c r="G39" s="45" t="str">
        <f>IFERROR(VLOOKUP(10*tblRiskRegister[[#This Row],[Safeguard Maturity Score]]+tblRiskRegister[[#This Row],[VCDB Index]],tblHITIndexWeightTable[],4,FALSE),"")</f>
        <v/>
      </c>
      <c r="H39" s="45">
        <f>VLOOKUP(tblRiskRegister[[#This Row],[Asset Class]],tblImpactIndex[],2,FALSE)</f>
        <v>0</v>
      </c>
      <c r="I39" s="45">
        <f>VLOOKUP(tblRiskRegister[[#This Row],[Asset Class]],tblImpactIndex[],3,FALSE)</f>
        <v>0</v>
      </c>
      <c r="J39" s="45">
        <f>VLOOKUP(tblRiskRegister[[#This Row],[Asset Class]],tblImpactIndex[],4,FALSE)</f>
        <v>0</v>
      </c>
      <c r="K39" s="45" t="str">
        <f>IFERROR(MAX(tblRiskRegister[[#This Row],[Impact to Mission]:[Impact to Obligations]])*tblRiskRegister[[#This Row],[Expectancy Score]],"")</f>
        <v/>
      </c>
      <c r="L39" s="45" t="str">
        <f>tblRiskRegister[[#This Row],[Risk Score]]</f>
        <v/>
      </c>
      <c r="M39" s="214"/>
      <c r="N39" s="37">
        <v>3.4</v>
      </c>
      <c r="O39" s="24" t="s">
        <v>19</v>
      </c>
      <c r="P39" s="24" t="s">
        <v>175</v>
      </c>
      <c r="Q39" s="24"/>
      <c r="R39" s="25"/>
      <c r="S39" s="46" t="str">
        <f>IFERROR(VLOOKUP(10*tblRiskRegister[[#This Row],[Risk Treatment Safeguard Maturity Score]]+tblRiskRegister[[#This Row],[VCDB Index]],tblHITIndexWeightTable[],4,FALSE),"")</f>
        <v/>
      </c>
      <c r="T39" s="46">
        <f>VLOOKUP(tblRiskRegister[[#This Row],[Asset Class]],tblImpactIndex[],2,FALSE)</f>
        <v>0</v>
      </c>
      <c r="U39" s="46">
        <f>VLOOKUP(tblRiskRegister[[#This Row],[Asset Class]],tblImpactIndex[],3,FALSE)</f>
        <v>0</v>
      </c>
      <c r="V39" s="46">
        <f>VLOOKUP(tblRiskRegister[[#This Row],[Asset Class]],tblImpactIndex[],4,FALSE)</f>
        <v>0</v>
      </c>
      <c r="W39" s="46" t="str">
        <f>IFERROR(MAX(tblRiskRegister[[#This Row],[Risk Treatment Safeguard Impact to Mission]:[Risk Treatment Safeguard Impact to Obligations]])*tblRiskRegister[[#This Row],[Risk Treatment
Safeguard Expectancy Score]],"")</f>
        <v/>
      </c>
      <c r="X39" s="46" t="str">
        <f>IF(tblRiskRegister[[#This Row],[Risk Score]]&gt;5,IF(tblRiskRegister[[#This Row],[Risk Treatment Safeguard Risk Score]]&lt;6, IF(tblRiskRegister[[#This Row],[Risk Treatment Safeguard Risk Score]]&lt;=tblRiskRegister[[#This Row],[Risk Score]],"Yes","No"),"No"),"Yes")</f>
        <v>No</v>
      </c>
      <c r="Y39" s="26"/>
      <c r="Z39" s="26"/>
      <c r="AA39" s="27"/>
      <c r="AC39" s="28">
        <f>SUMIF(tblRiskRegister[[#All],[Implementation Year]],"="&amp;tblCostImpacts[[#This Row],[Year]],tblRiskRegister[[#All],[Risk Treatment Safeguard Cost]])</f>
        <v>0</v>
      </c>
      <c r="AD39" s="13">
        <v>2026</v>
      </c>
      <c r="AE39" s="13" t="str">
        <f>IF(tblCostImpacts[[#This Row],[Impact to Financial Objectives]]&lt;=$E$12,"Yes","No")</f>
        <v>Yes</v>
      </c>
    </row>
    <row r="40" spans="2:31" ht="38.25" x14ac:dyDescent="0.2">
      <c r="B40" s="22">
        <v>3.5</v>
      </c>
      <c r="C40" s="23" t="s">
        <v>20</v>
      </c>
      <c r="D40" s="176" t="s">
        <v>147</v>
      </c>
      <c r="E40" s="25"/>
      <c r="F40" s="45">
        <f>IFERROR(VLOOKUP(tblRiskRegister[[#This Row],[Asset Class]],tblVCDBIndex[],4,FALSE),"")</f>
        <v>1</v>
      </c>
      <c r="G40" s="45" t="str">
        <f>IFERROR(VLOOKUP(10*tblRiskRegister[[#This Row],[Safeguard Maturity Score]]+tblRiskRegister[[#This Row],[VCDB Index]],tblHITIndexWeightTable[],4,FALSE),"")</f>
        <v/>
      </c>
      <c r="H40" s="45">
        <f>VLOOKUP(tblRiskRegister[[#This Row],[Asset Class]],tblImpactIndex[],2,FALSE)</f>
        <v>0</v>
      </c>
      <c r="I40" s="45">
        <f>VLOOKUP(tblRiskRegister[[#This Row],[Asset Class]],tblImpactIndex[],3,FALSE)</f>
        <v>0</v>
      </c>
      <c r="J40" s="45">
        <f>VLOOKUP(tblRiskRegister[[#This Row],[Asset Class]],tblImpactIndex[],4,FALSE)</f>
        <v>0</v>
      </c>
      <c r="K40" s="45" t="str">
        <f>IFERROR(MAX(tblRiskRegister[[#This Row],[Impact to Mission]:[Impact to Obligations]])*tblRiskRegister[[#This Row],[Expectancy Score]],"")</f>
        <v/>
      </c>
      <c r="L40" s="45" t="str">
        <f>tblRiskRegister[[#This Row],[Risk Score]]</f>
        <v/>
      </c>
      <c r="M40" s="214"/>
      <c r="N40" s="37">
        <v>3.5</v>
      </c>
      <c r="O40" s="24" t="s">
        <v>20</v>
      </c>
      <c r="P40" s="24" t="s">
        <v>176</v>
      </c>
      <c r="Q40" s="24"/>
      <c r="R40" s="25"/>
      <c r="S40" s="46" t="str">
        <f>IFERROR(VLOOKUP(10*tblRiskRegister[[#This Row],[Risk Treatment Safeguard Maturity Score]]+tblRiskRegister[[#This Row],[VCDB Index]],tblHITIndexWeightTable[],4,FALSE),"")</f>
        <v/>
      </c>
      <c r="T40" s="46">
        <f>VLOOKUP(tblRiskRegister[[#This Row],[Asset Class]],tblImpactIndex[],2,FALSE)</f>
        <v>0</v>
      </c>
      <c r="U40" s="46">
        <f>VLOOKUP(tblRiskRegister[[#This Row],[Asset Class]],tblImpactIndex[],3,FALSE)</f>
        <v>0</v>
      </c>
      <c r="V40" s="46">
        <f>VLOOKUP(tblRiskRegister[[#This Row],[Asset Class]],tblImpactIndex[],4,FALSE)</f>
        <v>0</v>
      </c>
      <c r="W40" s="46" t="str">
        <f>IFERROR(MAX(tblRiskRegister[[#This Row],[Risk Treatment Safeguard Impact to Mission]:[Risk Treatment Safeguard Impact to Obligations]])*tblRiskRegister[[#This Row],[Risk Treatment
Safeguard Expectancy Score]],"")</f>
        <v/>
      </c>
      <c r="X40" s="46" t="str">
        <f>IF(tblRiskRegister[[#This Row],[Risk Score]]&gt;5,IF(tblRiskRegister[[#This Row],[Risk Treatment Safeguard Risk Score]]&lt;6, IF(tblRiskRegister[[#This Row],[Risk Treatment Safeguard Risk Score]]&lt;=tblRiskRegister[[#This Row],[Risk Score]],"Yes","No"),"No"),"Yes")</f>
        <v>No</v>
      </c>
      <c r="Y40" s="26"/>
      <c r="Z40" s="26"/>
      <c r="AA40" s="27"/>
      <c r="AC40" s="28">
        <f>SUMIF(tblRiskRegister[[#All],[Implementation Year]],"="&amp;tblCostImpacts[[#This Row],[Year]],tblRiskRegister[[#All],[Risk Treatment Safeguard Cost]])</f>
        <v>0</v>
      </c>
      <c r="AD40" s="13">
        <v>2027</v>
      </c>
      <c r="AE40" s="13" t="str">
        <f>IF(tblCostImpacts[[#This Row],[Impact to Financial Objectives]]&lt;=$E$12,"Yes","No")</f>
        <v>Yes</v>
      </c>
    </row>
    <row r="41" spans="2:31" ht="25.5" x14ac:dyDescent="0.2">
      <c r="B41" s="22">
        <v>4.2</v>
      </c>
      <c r="C41" s="23" t="s">
        <v>21</v>
      </c>
      <c r="D41" s="176" t="s">
        <v>150</v>
      </c>
      <c r="E41" s="25"/>
      <c r="F41" s="45">
        <f>IFERROR(VLOOKUP(tblRiskRegister[[#This Row],[Asset Class]],tblVCDBIndex[],4,FALSE),"")</f>
        <v>3</v>
      </c>
      <c r="G41" s="45" t="str">
        <f>IFERROR(VLOOKUP(10*tblRiskRegister[[#This Row],[Safeguard Maturity Score]]+tblRiskRegister[[#This Row],[VCDB Index]],tblHITIndexWeightTable[],4,FALSE),"")</f>
        <v/>
      </c>
      <c r="H41" s="45">
        <f>VLOOKUP(tblRiskRegister[[#This Row],[Asset Class]],tblImpactIndex[],2,FALSE)</f>
        <v>0</v>
      </c>
      <c r="I41" s="45">
        <f>VLOOKUP(tblRiskRegister[[#This Row],[Asset Class]],tblImpactIndex[],3,FALSE)</f>
        <v>0</v>
      </c>
      <c r="J41" s="45">
        <f>VLOOKUP(tblRiskRegister[[#This Row],[Asset Class]],tblImpactIndex[],4,FALSE)</f>
        <v>0</v>
      </c>
      <c r="K41" s="45" t="str">
        <f>IFERROR(MAX(tblRiskRegister[[#This Row],[Impact to Mission]:[Impact to Obligations]])*tblRiskRegister[[#This Row],[Expectancy Score]],"")</f>
        <v/>
      </c>
      <c r="L41" s="45" t="str">
        <f>tblRiskRegister[[#This Row],[Risk Score]]</f>
        <v/>
      </c>
      <c r="M41" s="214"/>
      <c r="N41" s="37">
        <v>4.2</v>
      </c>
      <c r="O41" s="24" t="s">
        <v>21</v>
      </c>
      <c r="P41" s="24" t="s">
        <v>177</v>
      </c>
      <c r="Q41" s="24"/>
      <c r="R41" s="25"/>
      <c r="S41" s="46" t="str">
        <f>IFERROR(VLOOKUP(10*tblRiskRegister[[#This Row],[Risk Treatment Safeguard Maturity Score]]+tblRiskRegister[[#This Row],[VCDB Index]],tblHITIndexWeightTable[],4,FALSE),"")</f>
        <v/>
      </c>
      <c r="T41" s="46">
        <f>VLOOKUP(tblRiskRegister[[#This Row],[Asset Class]],tblImpactIndex[],2,FALSE)</f>
        <v>0</v>
      </c>
      <c r="U41" s="46">
        <f>VLOOKUP(tblRiskRegister[[#This Row],[Asset Class]],tblImpactIndex[],3,FALSE)</f>
        <v>0</v>
      </c>
      <c r="V41" s="46">
        <f>VLOOKUP(tblRiskRegister[[#This Row],[Asset Class]],tblImpactIndex[],4,FALSE)</f>
        <v>0</v>
      </c>
      <c r="W41" s="46" t="str">
        <f>IFERROR(MAX(tblRiskRegister[[#This Row],[Risk Treatment Safeguard Impact to Mission]:[Risk Treatment Safeguard Impact to Obligations]])*tblRiskRegister[[#This Row],[Risk Treatment
Safeguard Expectancy Score]],"")</f>
        <v/>
      </c>
      <c r="X41" s="46" t="str">
        <f>IF(tblRiskRegister[[#This Row],[Risk Score]]&gt;5,IF(tblRiskRegister[[#This Row],[Risk Treatment Safeguard Risk Score]]&lt;6, IF(tblRiskRegister[[#This Row],[Risk Treatment Safeguard Risk Score]]&lt;=tblRiskRegister[[#This Row],[Risk Score]],"Yes","No"),"No"),"Yes")</f>
        <v>No</v>
      </c>
      <c r="Y41" s="26"/>
      <c r="Z41" s="26"/>
      <c r="AA41" s="27"/>
      <c r="AC41" s="28">
        <f>SUMIF(tblRiskRegister[[#All],[Implementation Year]],"="&amp;tblCostImpacts[[#This Row],[Year]],tblRiskRegister[[#All],[Risk Treatment Safeguard Cost]])</f>
        <v>0</v>
      </c>
      <c r="AD41" s="13">
        <v>2028</v>
      </c>
      <c r="AE41" s="13" t="str">
        <f>IF(tblCostImpacts[[#This Row],[Impact to Financial Objectives]]&lt;=$E$12,"Yes","No")</f>
        <v>Yes</v>
      </c>
    </row>
    <row r="42" spans="2:31" ht="51" x14ac:dyDescent="0.2">
      <c r="B42" s="22">
        <v>4.3</v>
      </c>
      <c r="C42" s="23" t="s">
        <v>22</v>
      </c>
      <c r="D42" s="176" t="s">
        <v>150</v>
      </c>
      <c r="E42" s="25"/>
      <c r="F42" s="45">
        <f>IFERROR(VLOOKUP(tblRiskRegister[[#This Row],[Asset Class]],tblVCDBIndex[],4,FALSE),"")</f>
        <v>3</v>
      </c>
      <c r="G42" s="45" t="str">
        <f>IFERROR(VLOOKUP(10*tblRiskRegister[[#This Row],[Safeguard Maturity Score]]+tblRiskRegister[[#This Row],[VCDB Index]],tblHITIndexWeightTable[],4,FALSE),"")</f>
        <v/>
      </c>
      <c r="H42" s="45">
        <f>VLOOKUP(tblRiskRegister[[#This Row],[Asset Class]],tblImpactIndex[],2,FALSE)</f>
        <v>0</v>
      </c>
      <c r="I42" s="45">
        <f>VLOOKUP(tblRiskRegister[[#This Row],[Asset Class]],tblImpactIndex[],3,FALSE)</f>
        <v>0</v>
      </c>
      <c r="J42" s="45">
        <f>VLOOKUP(tblRiskRegister[[#This Row],[Asset Class]],tblImpactIndex[],4,FALSE)</f>
        <v>0</v>
      </c>
      <c r="K42" s="45" t="str">
        <f>IFERROR(MAX(tblRiskRegister[[#This Row],[Impact to Mission]:[Impact to Obligations]])*tblRiskRegister[[#This Row],[Expectancy Score]],"")</f>
        <v/>
      </c>
      <c r="L42" s="45" t="str">
        <f>tblRiskRegister[[#This Row],[Risk Score]]</f>
        <v/>
      </c>
      <c r="M42" s="214"/>
      <c r="N42" s="37">
        <v>4.3</v>
      </c>
      <c r="O42" s="24" t="s">
        <v>22</v>
      </c>
      <c r="P42" s="24" t="s">
        <v>178</v>
      </c>
      <c r="Q42" s="24"/>
      <c r="R42" s="25"/>
      <c r="S42" s="46" t="str">
        <f>IFERROR(VLOOKUP(10*tblRiskRegister[[#This Row],[Risk Treatment Safeguard Maturity Score]]+tblRiskRegister[[#This Row],[VCDB Index]],tblHITIndexWeightTable[],4,FALSE),"")</f>
        <v/>
      </c>
      <c r="T42" s="46">
        <f>VLOOKUP(tblRiskRegister[[#This Row],[Asset Class]],tblImpactIndex[],2,FALSE)</f>
        <v>0</v>
      </c>
      <c r="U42" s="46">
        <f>VLOOKUP(tblRiskRegister[[#This Row],[Asset Class]],tblImpactIndex[],3,FALSE)</f>
        <v>0</v>
      </c>
      <c r="V42" s="46">
        <f>VLOOKUP(tblRiskRegister[[#This Row],[Asset Class]],tblImpactIndex[],4,FALSE)</f>
        <v>0</v>
      </c>
      <c r="W42" s="46" t="str">
        <f>IFERROR(MAX(tblRiskRegister[[#This Row],[Risk Treatment Safeguard Impact to Mission]:[Risk Treatment Safeguard Impact to Obligations]])*tblRiskRegister[[#This Row],[Risk Treatment
Safeguard Expectancy Score]],"")</f>
        <v/>
      </c>
      <c r="X42" s="46" t="str">
        <f>IF(tblRiskRegister[[#This Row],[Risk Score]]&gt;5,IF(tblRiskRegister[[#This Row],[Risk Treatment Safeguard Risk Score]]&lt;6, IF(tblRiskRegister[[#This Row],[Risk Treatment Safeguard Risk Score]]&lt;=tblRiskRegister[[#This Row],[Risk Score]],"Yes","No"),"No"),"Yes")</f>
        <v>No</v>
      </c>
      <c r="Y42" s="26"/>
      <c r="Z42" s="26"/>
      <c r="AA42" s="27"/>
      <c r="AC42" s="28">
        <f>SUMIF(tblRiskRegister[[#All],[Implementation Year]],"="&amp;tblCostImpacts[[#This Row],[Year]],tblRiskRegister[[#All],[Risk Treatment Safeguard Cost]])</f>
        <v>0</v>
      </c>
      <c r="AD42" s="13">
        <v>2029</v>
      </c>
      <c r="AE42" s="13" t="str">
        <f>IF(tblCostImpacts[[#This Row],[Impact to Financial Objectives]]&lt;=$E$12,"Yes","No")</f>
        <v>Yes</v>
      </c>
    </row>
    <row r="43" spans="2:31" ht="25.5" x14ac:dyDescent="0.2">
      <c r="B43" s="22">
        <v>5.0999999999999996</v>
      </c>
      <c r="C43" s="23" t="s">
        <v>24</v>
      </c>
      <c r="D43" s="176" t="s">
        <v>147</v>
      </c>
      <c r="E43" s="25"/>
      <c r="F43" s="45">
        <f>IFERROR(VLOOKUP(tblRiskRegister[[#This Row],[Asset Class]],tblVCDBIndex[],4,FALSE),"")</f>
        <v>1</v>
      </c>
      <c r="G43" s="45" t="str">
        <f>IFERROR(VLOOKUP(10*tblRiskRegister[[#This Row],[Safeguard Maturity Score]]+tblRiskRegister[[#This Row],[VCDB Index]],tblHITIndexWeightTable[],4,FALSE),"")</f>
        <v/>
      </c>
      <c r="H43" s="45">
        <f>VLOOKUP(tblRiskRegister[[#This Row],[Asset Class]],tblImpactIndex[],2,FALSE)</f>
        <v>0</v>
      </c>
      <c r="I43" s="45">
        <f>VLOOKUP(tblRiskRegister[[#This Row],[Asset Class]],tblImpactIndex[],3,FALSE)</f>
        <v>0</v>
      </c>
      <c r="J43" s="45">
        <f>VLOOKUP(tblRiskRegister[[#This Row],[Asset Class]],tblImpactIndex[],4,FALSE)</f>
        <v>0</v>
      </c>
      <c r="K43" s="45" t="str">
        <f>IFERROR(MAX(tblRiskRegister[[#This Row],[Impact to Mission]:[Impact to Obligations]])*tblRiskRegister[[#This Row],[Expectancy Score]],"")</f>
        <v/>
      </c>
      <c r="L43" s="45" t="str">
        <f>tblRiskRegister[[#This Row],[Risk Score]]</f>
        <v/>
      </c>
      <c r="M43" s="214"/>
      <c r="N43" s="37">
        <v>5.0999999999999996</v>
      </c>
      <c r="O43" s="24" t="s">
        <v>24</v>
      </c>
      <c r="P43" s="24" t="s">
        <v>179</v>
      </c>
      <c r="Q43" s="24"/>
      <c r="R43" s="25"/>
      <c r="S43" s="46" t="str">
        <f>IFERROR(VLOOKUP(10*tblRiskRegister[[#This Row],[Risk Treatment Safeguard Maturity Score]]+tblRiskRegister[[#This Row],[VCDB Index]],tblHITIndexWeightTable[],4,FALSE),"")</f>
        <v/>
      </c>
      <c r="T43" s="46">
        <f>VLOOKUP(tblRiskRegister[[#This Row],[Asset Class]],tblImpactIndex[],2,FALSE)</f>
        <v>0</v>
      </c>
      <c r="U43" s="46">
        <f>VLOOKUP(tblRiskRegister[[#This Row],[Asset Class]],tblImpactIndex[],3,FALSE)</f>
        <v>0</v>
      </c>
      <c r="V43" s="46">
        <f>VLOOKUP(tblRiskRegister[[#This Row],[Asset Class]],tblImpactIndex[],4,FALSE)</f>
        <v>0</v>
      </c>
      <c r="W43" s="46" t="str">
        <f>IFERROR(MAX(tblRiskRegister[[#This Row],[Risk Treatment Safeguard Impact to Mission]:[Risk Treatment Safeguard Impact to Obligations]])*tblRiskRegister[[#This Row],[Risk Treatment
Safeguard Expectancy Score]],"")</f>
        <v/>
      </c>
      <c r="X43" s="46" t="str">
        <f>IF(tblRiskRegister[[#This Row],[Risk Score]]&gt;5,IF(tblRiskRegister[[#This Row],[Risk Treatment Safeguard Risk Score]]&lt;6, IF(tblRiskRegister[[#This Row],[Risk Treatment Safeguard Risk Score]]&lt;=tblRiskRegister[[#This Row],[Risk Score]],"Yes","No"),"No"),"Yes")</f>
        <v>No</v>
      </c>
      <c r="Y43" s="26"/>
      <c r="Z43" s="26"/>
      <c r="AA43" s="27"/>
      <c r="AC43" s="28">
        <f>SUMIF(tblRiskRegister[[#All],[Implementation Year]],"="&amp;tblCostImpacts[[#This Row],[Year]],tblRiskRegister[[#All],[Risk Treatment Safeguard Cost]])</f>
        <v>0</v>
      </c>
      <c r="AD43" s="13">
        <v>2030</v>
      </c>
      <c r="AE43" s="13" t="str">
        <f>IF(tblCostImpacts[[#This Row],[Impact to Financial Objectives]]&lt;=$E$12,"Yes","No")</f>
        <v>Yes</v>
      </c>
    </row>
    <row r="44" spans="2:31" ht="25.5" x14ac:dyDescent="0.2">
      <c r="B44" s="22">
        <v>6.2</v>
      </c>
      <c r="C44" s="23" t="s">
        <v>82</v>
      </c>
      <c r="D44" s="176" t="s">
        <v>147</v>
      </c>
      <c r="E44" s="25"/>
      <c r="F44" s="45">
        <f>IFERROR(VLOOKUP(tblRiskRegister[[#This Row],[Asset Class]],tblVCDBIndex[],4,FALSE),"")</f>
        <v>1</v>
      </c>
      <c r="G44" s="45" t="str">
        <f>IFERROR(VLOOKUP(10*tblRiskRegister[[#This Row],[Safeguard Maturity Score]]+tblRiskRegister[[#This Row],[VCDB Index]],tblHITIndexWeightTable[],4,FALSE),"")</f>
        <v/>
      </c>
      <c r="H44" s="45">
        <f>VLOOKUP(tblRiskRegister[[#This Row],[Asset Class]],tblImpactIndex[],2,FALSE)</f>
        <v>0</v>
      </c>
      <c r="I44" s="45">
        <f>VLOOKUP(tblRiskRegister[[#This Row],[Asset Class]],tblImpactIndex[],3,FALSE)</f>
        <v>0</v>
      </c>
      <c r="J44" s="45">
        <f>VLOOKUP(tblRiskRegister[[#This Row],[Asset Class]],tblImpactIndex[],4,FALSE)</f>
        <v>0</v>
      </c>
      <c r="K44" s="45" t="str">
        <f>IFERROR(MAX(tblRiskRegister[[#This Row],[Impact to Mission]:[Impact to Obligations]])*tblRiskRegister[[#This Row],[Expectancy Score]],"")</f>
        <v/>
      </c>
      <c r="L44" s="45" t="str">
        <f>tblRiskRegister[[#This Row],[Risk Score]]</f>
        <v/>
      </c>
      <c r="M44" s="214"/>
      <c r="N44" s="37">
        <v>6.2</v>
      </c>
      <c r="O44" s="24" t="s">
        <v>82</v>
      </c>
      <c r="P44" s="24" t="s">
        <v>180</v>
      </c>
      <c r="Q44" s="24"/>
      <c r="R44" s="25"/>
      <c r="S44" s="46" t="str">
        <f>IFERROR(VLOOKUP(10*tblRiskRegister[[#This Row],[Risk Treatment Safeguard Maturity Score]]+tblRiskRegister[[#This Row],[VCDB Index]],tblHITIndexWeightTable[],4,FALSE),"")</f>
        <v/>
      </c>
      <c r="T44" s="46">
        <f>VLOOKUP(tblRiskRegister[[#This Row],[Asset Class]],tblImpactIndex[],2,FALSE)</f>
        <v>0</v>
      </c>
      <c r="U44" s="46">
        <f>VLOOKUP(tblRiskRegister[[#This Row],[Asset Class]],tblImpactIndex[],3,FALSE)</f>
        <v>0</v>
      </c>
      <c r="V44" s="46">
        <f>VLOOKUP(tblRiskRegister[[#This Row],[Asset Class]],tblImpactIndex[],4,FALSE)</f>
        <v>0</v>
      </c>
      <c r="W44" s="46" t="str">
        <f>IFERROR(MAX(tblRiskRegister[[#This Row],[Risk Treatment Safeguard Impact to Mission]:[Risk Treatment Safeguard Impact to Obligations]])*tblRiskRegister[[#This Row],[Risk Treatment
Safeguard Expectancy Score]],"")</f>
        <v/>
      </c>
      <c r="X44" s="46" t="str">
        <f>IF(tblRiskRegister[[#This Row],[Risk Score]]&gt;5,IF(tblRiskRegister[[#This Row],[Risk Treatment Safeguard Risk Score]]&lt;6, IF(tblRiskRegister[[#This Row],[Risk Treatment Safeguard Risk Score]]&lt;=tblRiskRegister[[#This Row],[Risk Score]],"Yes","No"),"No"),"Yes")</f>
        <v>No</v>
      </c>
      <c r="Y44" s="26"/>
      <c r="Z44" s="26"/>
      <c r="AA44" s="27"/>
    </row>
    <row r="45" spans="2:31" ht="51" x14ac:dyDescent="0.2">
      <c r="B45" s="22">
        <v>7.1</v>
      </c>
      <c r="C45" s="23" t="s">
        <v>25</v>
      </c>
      <c r="D45" s="176" t="s">
        <v>147</v>
      </c>
      <c r="E45" s="25"/>
      <c r="F45" s="45">
        <f>IFERROR(VLOOKUP(tblRiskRegister[[#This Row],[Asset Class]],tblVCDBIndex[],4,FALSE),"")</f>
        <v>1</v>
      </c>
      <c r="G45" s="45" t="str">
        <f>IFERROR(VLOOKUP(10*tblRiskRegister[[#This Row],[Safeguard Maturity Score]]+tblRiskRegister[[#This Row],[VCDB Index]],tblHITIndexWeightTable[],4,FALSE),"")</f>
        <v/>
      </c>
      <c r="H45" s="45">
        <f>VLOOKUP(tblRiskRegister[[#This Row],[Asset Class]],tblImpactIndex[],2,FALSE)</f>
        <v>0</v>
      </c>
      <c r="I45" s="45">
        <f>VLOOKUP(tblRiskRegister[[#This Row],[Asset Class]],tblImpactIndex[],3,FALSE)</f>
        <v>0</v>
      </c>
      <c r="J45" s="45">
        <f>VLOOKUP(tblRiskRegister[[#This Row],[Asset Class]],tblImpactIndex[],4,FALSE)</f>
        <v>0</v>
      </c>
      <c r="K45" s="45" t="str">
        <f>IFERROR(MAX(tblRiskRegister[[#This Row],[Impact to Mission]:[Impact to Obligations]])*tblRiskRegister[[#This Row],[Expectancy Score]],"")</f>
        <v/>
      </c>
      <c r="L45" s="45" t="str">
        <f>tblRiskRegister[[#This Row],[Risk Score]]</f>
        <v/>
      </c>
      <c r="M45" s="214"/>
      <c r="N45" s="37">
        <v>7.1</v>
      </c>
      <c r="O45" s="24" t="s">
        <v>25</v>
      </c>
      <c r="P45" s="24" t="s">
        <v>181</v>
      </c>
      <c r="Q45" s="24"/>
      <c r="R45" s="25"/>
      <c r="S45" s="46" t="str">
        <f>IFERROR(VLOOKUP(10*tblRiskRegister[[#This Row],[Risk Treatment Safeguard Maturity Score]]+tblRiskRegister[[#This Row],[VCDB Index]],tblHITIndexWeightTable[],4,FALSE),"")</f>
        <v/>
      </c>
      <c r="T45" s="46">
        <f>VLOOKUP(tblRiskRegister[[#This Row],[Asset Class]],tblImpactIndex[],2,FALSE)</f>
        <v>0</v>
      </c>
      <c r="U45" s="46">
        <f>VLOOKUP(tblRiskRegister[[#This Row],[Asset Class]],tblImpactIndex[],3,FALSE)</f>
        <v>0</v>
      </c>
      <c r="V45" s="46">
        <f>VLOOKUP(tblRiskRegister[[#This Row],[Asset Class]],tblImpactIndex[],4,FALSE)</f>
        <v>0</v>
      </c>
      <c r="W45" s="46" t="str">
        <f>IFERROR(MAX(tblRiskRegister[[#This Row],[Risk Treatment Safeguard Impact to Mission]:[Risk Treatment Safeguard Impact to Obligations]])*tblRiskRegister[[#This Row],[Risk Treatment
Safeguard Expectancy Score]],"")</f>
        <v/>
      </c>
      <c r="X45" s="46" t="str">
        <f>IF(tblRiskRegister[[#This Row],[Risk Score]]&gt;5,IF(tblRiskRegister[[#This Row],[Risk Treatment Safeguard Risk Score]]&lt;6, IF(tblRiskRegister[[#This Row],[Risk Treatment Safeguard Risk Score]]&lt;=tblRiskRegister[[#This Row],[Risk Score]],"Yes","No"),"No"),"Yes")</f>
        <v>No</v>
      </c>
      <c r="Y45" s="26"/>
      <c r="Z45" s="26"/>
      <c r="AA45" s="27"/>
    </row>
    <row r="46" spans="2:31" ht="25.5" x14ac:dyDescent="0.2">
      <c r="B46" s="22">
        <v>7.7</v>
      </c>
      <c r="C46" s="23" t="s">
        <v>26</v>
      </c>
      <c r="D46" s="176" t="s">
        <v>147</v>
      </c>
      <c r="E46" s="25"/>
      <c r="F46" s="45">
        <f>IFERROR(VLOOKUP(tblRiskRegister[[#This Row],[Asset Class]],tblVCDBIndex[],4,FALSE),"")</f>
        <v>1</v>
      </c>
      <c r="G46" s="45" t="str">
        <f>IFERROR(VLOOKUP(10*tblRiskRegister[[#This Row],[Safeguard Maturity Score]]+tblRiskRegister[[#This Row],[VCDB Index]],tblHITIndexWeightTable[],4,FALSE),"")</f>
        <v/>
      </c>
      <c r="H46" s="45">
        <f>VLOOKUP(tblRiskRegister[[#This Row],[Asset Class]],tblImpactIndex[],2,FALSE)</f>
        <v>0</v>
      </c>
      <c r="I46" s="45">
        <f>VLOOKUP(tblRiskRegister[[#This Row],[Asset Class]],tblImpactIndex[],3,FALSE)</f>
        <v>0</v>
      </c>
      <c r="J46" s="45">
        <f>VLOOKUP(tblRiskRegister[[#This Row],[Asset Class]],tblImpactIndex[],4,FALSE)</f>
        <v>0</v>
      </c>
      <c r="K46" s="45" t="str">
        <f>IFERROR(MAX(tblRiskRegister[[#This Row],[Impact to Mission]:[Impact to Obligations]])*tblRiskRegister[[#This Row],[Expectancy Score]],"")</f>
        <v/>
      </c>
      <c r="L46" s="45" t="str">
        <f>tblRiskRegister[[#This Row],[Risk Score]]</f>
        <v/>
      </c>
      <c r="M46" s="214"/>
      <c r="N46" s="37">
        <v>7.7</v>
      </c>
      <c r="O46" s="24" t="s">
        <v>26</v>
      </c>
      <c r="P46" s="24" t="s">
        <v>182</v>
      </c>
      <c r="Q46" s="24"/>
      <c r="R46" s="25"/>
      <c r="S46" s="46" t="str">
        <f>IFERROR(VLOOKUP(10*tblRiskRegister[[#This Row],[Risk Treatment Safeguard Maturity Score]]+tblRiskRegister[[#This Row],[VCDB Index]],tblHITIndexWeightTable[],4,FALSE),"")</f>
        <v/>
      </c>
      <c r="T46" s="46">
        <f>VLOOKUP(tblRiskRegister[[#This Row],[Asset Class]],tblImpactIndex[],2,FALSE)</f>
        <v>0</v>
      </c>
      <c r="U46" s="46">
        <f>VLOOKUP(tblRiskRegister[[#This Row],[Asset Class]],tblImpactIndex[],3,FALSE)</f>
        <v>0</v>
      </c>
      <c r="V46" s="46">
        <f>VLOOKUP(tblRiskRegister[[#This Row],[Asset Class]],tblImpactIndex[],4,FALSE)</f>
        <v>0</v>
      </c>
      <c r="W46" s="46" t="str">
        <f>IFERROR(MAX(tblRiskRegister[[#This Row],[Risk Treatment Safeguard Impact to Mission]:[Risk Treatment Safeguard Impact to Obligations]])*tblRiskRegister[[#This Row],[Risk Treatment
Safeguard Expectancy Score]],"")</f>
        <v/>
      </c>
      <c r="X46" s="46" t="str">
        <f>IF(tblRiskRegister[[#This Row],[Risk Score]]&gt;5,IF(tblRiskRegister[[#This Row],[Risk Treatment Safeguard Risk Score]]&lt;6, IF(tblRiskRegister[[#This Row],[Risk Treatment Safeguard Risk Score]]&lt;=tblRiskRegister[[#This Row],[Risk Score]],"Yes","No"),"No"),"Yes")</f>
        <v>No</v>
      </c>
      <c r="Y46" s="26"/>
      <c r="Z46" s="26"/>
      <c r="AA46" s="27"/>
    </row>
    <row r="47" spans="2:31" ht="51" x14ac:dyDescent="0.2">
      <c r="B47" s="22">
        <v>8.1999999999999993</v>
      </c>
      <c r="C47" s="23" t="s">
        <v>83</v>
      </c>
      <c r="D47" s="176" t="s">
        <v>147</v>
      </c>
      <c r="E47" s="25"/>
      <c r="F47" s="45">
        <f>IFERROR(VLOOKUP(tblRiskRegister[[#This Row],[Asset Class]],tblVCDBIndex[],4,FALSE),"")</f>
        <v>1</v>
      </c>
      <c r="G47" s="45" t="str">
        <f>IFERROR(VLOOKUP(10*tblRiskRegister[[#This Row],[Safeguard Maturity Score]]+tblRiskRegister[[#This Row],[VCDB Index]],tblHITIndexWeightTable[],4,FALSE),"")</f>
        <v/>
      </c>
      <c r="H47" s="45">
        <f>VLOOKUP(tblRiskRegister[[#This Row],[Asset Class]],tblImpactIndex[],2,FALSE)</f>
        <v>0</v>
      </c>
      <c r="I47" s="45">
        <f>VLOOKUP(tblRiskRegister[[#This Row],[Asset Class]],tblImpactIndex[],3,FALSE)</f>
        <v>0</v>
      </c>
      <c r="J47" s="45">
        <f>VLOOKUP(tblRiskRegister[[#This Row],[Asset Class]],tblImpactIndex[],4,FALSE)</f>
        <v>0</v>
      </c>
      <c r="K47" s="45" t="str">
        <f>IFERROR(MAX(tblRiskRegister[[#This Row],[Impact to Mission]:[Impact to Obligations]])*tblRiskRegister[[#This Row],[Expectancy Score]],"")</f>
        <v/>
      </c>
      <c r="L47" s="45" t="str">
        <f>tblRiskRegister[[#This Row],[Risk Score]]</f>
        <v/>
      </c>
      <c r="M47" s="214"/>
      <c r="N47" s="37">
        <v>8.1999999999999993</v>
      </c>
      <c r="O47" s="24" t="s">
        <v>83</v>
      </c>
      <c r="P47" s="24" t="s">
        <v>183</v>
      </c>
      <c r="Q47" s="24"/>
      <c r="R47" s="25"/>
      <c r="S47" s="46" t="str">
        <f>IFERROR(VLOOKUP(10*tblRiskRegister[[#This Row],[Risk Treatment Safeguard Maturity Score]]+tblRiskRegister[[#This Row],[VCDB Index]],tblHITIndexWeightTable[],4,FALSE),"")</f>
        <v/>
      </c>
      <c r="T47" s="46">
        <f>VLOOKUP(tblRiskRegister[[#This Row],[Asset Class]],tblImpactIndex[],2,FALSE)</f>
        <v>0</v>
      </c>
      <c r="U47" s="46">
        <f>VLOOKUP(tblRiskRegister[[#This Row],[Asset Class]],tblImpactIndex[],3,FALSE)</f>
        <v>0</v>
      </c>
      <c r="V47" s="46">
        <f>VLOOKUP(tblRiskRegister[[#This Row],[Asset Class]],tblImpactIndex[],4,FALSE)</f>
        <v>0</v>
      </c>
      <c r="W47" s="46" t="str">
        <f>IFERROR(MAX(tblRiskRegister[[#This Row],[Risk Treatment Safeguard Impact to Mission]:[Risk Treatment Safeguard Impact to Obligations]])*tblRiskRegister[[#This Row],[Risk Treatment
Safeguard Expectancy Score]],"")</f>
        <v/>
      </c>
      <c r="X47" s="46" t="str">
        <f>IF(tblRiskRegister[[#This Row],[Risk Score]]&gt;5,IF(tblRiskRegister[[#This Row],[Risk Treatment Safeguard Risk Score]]&lt;6, IF(tblRiskRegister[[#This Row],[Risk Treatment Safeguard Risk Score]]&lt;=tblRiskRegister[[#This Row],[Risk Score]],"Yes","No"),"No"),"Yes")</f>
        <v>No</v>
      </c>
      <c r="Y47" s="26"/>
      <c r="Z47" s="26"/>
      <c r="AA47" s="27"/>
    </row>
    <row r="48" spans="2:31" ht="38.25" x14ac:dyDescent="0.2">
      <c r="B48" s="22">
        <v>8.4</v>
      </c>
      <c r="C48" s="23" t="s">
        <v>27</v>
      </c>
      <c r="D48" s="176" t="s">
        <v>147</v>
      </c>
      <c r="E48" s="25"/>
      <c r="F48" s="45">
        <f>IFERROR(VLOOKUP(tblRiskRegister[[#This Row],[Asset Class]],tblVCDBIndex[],4,FALSE),"")</f>
        <v>1</v>
      </c>
      <c r="G48" s="45" t="str">
        <f>IFERROR(VLOOKUP(10*tblRiskRegister[[#This Row],[Safeguard Maturity Score]]+tblRiskRegister[[#This Row],[VCDB Index]],tblHITIndexWeightTable[],4,FALSE),"")</f>
        <v/>
      </c>
      <c r="H48" s="45">
        <f>VLOOKUP(tblRiskRegister[[#This Row],[Asset Class]],tblImpactIndex[],2,FALSE)</f>
        <v>0</v>
      </c>
      <c r="I48" s="45">
        <f>VLOOKUP(tblRiskRegister[[#This Row],[Asset Class]],tblImpactIndex[],3,FALSE)</f>
        <v>0</v>
      </c>
      <c r="J48" s="45">
        <f>VLOOKUP(tblRiskRegister[[#This Row],[Asset Class]],tblImpactIndex[],4,FALSE)</f>
        <v>0</v>
      </c>
      <c r="K48" s="45" t="str">
        <f>IFERROR(MAX(tblRiskRegister[[#This Row],[Impact to Mission]:[Impact to Obligations]])*tblRiskRegister[[#This Row],[Expectancy Score]],"")</f>
        <v/>
      </c>
      <c r="L48" s="45" t="str">
        <f>tblRiskRegister[[#This Row],[Risk Score]]</f>
        <v/>
      </c>
      <c r="M48" s="214"/>
      <c r="N48" s="37">
        <v>8.4</v>
      </c>
      <c r="O48" s="24" t="s">
        <v>27</v>
      </c>
      <c r="P48" s="24" t="s">
        <v>184</v>
      </c>
      <c r="Q48" s="24"/>
      <c r="R48" s="25"/>
      <c r="S48" s="46" t="str">
        <f>IFERROR(VLOOKUP(10*tblRiskRegister[[#This Row],[Risk Treatment Safeguard Maturity Score]]+tblRiskRegister[[#This Row],[VCDB Index]],tblHITIndexWeightTable[],4,FALSE),"")</f>
        <v/>
      </c>
      <c r="T48" s="46">
        <f>VLOOKUP(tblRiskRegister[[#This Row],[Asset Class]],tblImpactIndex[],2,FALSE)</f>
        <v>0</v>
      </c>
      <c r="U48" s="46">
        <f>VLOOKUP(tblRiskRegister[[#This Row],[Asset Class]],tblImpactIndex[],3,FALSE)</f>
        <v>0</v>
      </c>
      <c r="V48" s="46">
        <f>VLOOKUP(tblRiskRegister[[#This Row],[Asset Class]],tblImpactIndex[],4,FALSE)</f>
        <v>0</v>
      </c>
      <c r="W48" s="46" t="str">
        <f>IFERROR(MAX(tblRiskRegister[[#This Row],[Risk Treatment Safeguard Impact to Mission]:[Risk Treatment Safeguard Impact to Obligations]])*tblRiskRegister[[#This Row],[Risk Treatment
Safeguard Expectancy Score]],"")</f>
        <v/>
      </c>
      <c r="X48" s="46" t="str">
        <f>IF(tblRiskRegister[[#This Row],[Risk Score]]&gt;5,IF(tblRiskRegister[[#This Row],[Risk Treatment Safeguard Risk Score]]&lt;6, IF(tblRiskRegister[[#This Row],[Risk Treatment Safeguard Risk Score]]&lt;=tblRiskRegister[[#This Row],[Risk Score]],"Yes","No"),"No"),"Yes")</f>
        <v>No</v>
      </c>
      <c r="Y48" s="26"/>
      <c r="Z48" s="26"/>
      <c r="AA48" s="27"/>
    </row>
    <row r="49" spans="2:27" ht="25.5" x14ac:dyDescent="0.2">
      <c r="B49" s="22">
        <v>8.5</v>
      </c>
      <c r="C49" s="23" t="s">
        <v>84</v>
      </c>
      <c r="D49" s="176" t="s">
        <v>147</v>
      </c>
      <c r="E49" s="25"/>
      <c r="F49" s="45">
        <f>IFERROR(VLOOKUP(tblRiskRegister[[#This Row],[Asset Class]],tblVCDBIndex[],4,FALSE),"")</f>
        <v>1</v>
      </c>
      <c r="G49" s="45" t="str">
        <f>IFERROR(VLOOKUP(10*tblRiskRegister[[#This Row],[Safeguard Maturity Score]]+tblRiskRegister[[#This Row],[VCDB Index]],tblHITIndexWeightTable[],4,FALSE),"")</f>
        <v/>
      </c>
      <c r="H49" s="45">
        <f>VLOOKUP(tblRiskRegister[[#This Row],[Asset Class]],tblImpactIndex[],2,FALSE)</f>
        <v>0</v>
      </c>
      <c r="I49" s="45">
        <f>VLOOKUP(tblRiskRegister[[#This Row],[Asset Class]],tblImpactIndex[],3,FALSE)</f>
        <v>0</v>
      </c>
      <c r="J49" s="45">
        <f>VLOOKUP(tblRiskRegister[[#This Row],[Asset Class]],tblImpactIndex[],4,FALSE)</f>
        <v>0</v>
      </c>
      <c r="K49" s="45" t="str">
        <f>IFERROR(MAX(tblRiskRegister[[#This Row],[Impact to Mission]:[Impact to Obligations]])*tblRiskRegister[[#This Row],[Expectancy Score]],"")</f>
        <v/>
      </c>
      <c r="L49" s="45" t="str">
        <f>tblRiskRegister[[#This Row],[Risk Score]]</f>
        <v/>
      </c>
      <c r="M49" s="214"/>
      <c r="N49" s="37">
        <v>8.5</v>
      </c>
      <c r="O49" s="24" t="s">
        <v>84</v>
      </c>
      <c r="P49" s="24" t="s">
        <v>185</v>
      </c>
      <c r="Q49" s="24"/>
      <c r="R49" s="25"/>
      <c r="S49" s="46" t="str">
        <f>IFERROR(VLOOKUP(10*tblRiskRegister[[#This Row],[Risk Treatment Safeguard Maturity Score]]+tblRiskRegister[[#This Row],[VCDB Index]],tblHITIndexWeightTable[],4,FALSE),"")</f>
        <v/>
      </c>
      <c r="T49" s="46">
        <f>VLOOKUP(tblRiskRegister[[#This Row],[Asset Class]],tblImpactIndex[],2,FALSE)</f>
        <v>0</v>
      </c>
      <c r="U49" s="46">
        <f>VLOOKUP(tblRiskRegister[[#This Row],[Asset Class]],tblImpactIndex[],3,FALSE)</f>
        <v>0</v>
      </c>
      <c r="V49" s="46">
        <f>VLOOKUP(tblRiskRegister[[#This Row],[Asset Class]],tblImpactIndex[],4,FALSE)</f>
        <v>0</v>
      </c>
      <c r="W49" s="46" t="str">
        <f>IFERROR(MAX(tblRiskRegister[[#This Row],[Risk Treatment Safeguard Impact to Mission]:[Risk Treatment Safeguard Impact to Obligations]])*tblRiskRegister[[#This Row],[Risk Treatment
Safeguard Expectancy Score]],"")</f>
        <v/>
      </c>
      <c r="X49" s="46" t="str">
        <f>IF(tblRiskRegister[[#This Row],[Risk Score]]&gt;5,IF(tblRiskRegister[[#This Row],[Risk Treatment Safeguard Risk Score]]&lt;6, IF(tblRiskRegister[[#This Row],[Risk Treatment Safeguard Risk Score]]&lt;=tblRiskRegister[[#This Row],[Risk Score]],"Yes","No"),"No"),"Yes")</f>
        <v>No</v>
      </c>
      <c r="Y49" s="26"/>
      <c r="Z49" s="26"/>
      <c r="AA49" s="27"/>
    </row>
    <row r="50" spans="2:27" ht="38.25" x14ac:dyDescent="0.2">
      <c r="B50" s="22">
        <v>9.4</v>
      </c>
      <c r="C50" s="23" t="s">
        <v>85</v>
      </c>
      <c r="D50" s="176" t="s">
        <v>149</v>
      </c>
      <c r="E50" s="25"/>
      <c r="F50" s="45">
        <f>IFERROR(VLOOKUP(tblRiskRegister[[#This Row],[Asset Class]],tblVCDBIndex[],4,FALSE),"")</f>
        <v>1</v>
      </c>
      <c r="G50" s="45" t="str">
        <f>IFERROR(VLOOKUP(10*tblRiskRegister[[#This Row],[Safeguard Maturity Score]]+tblRiskRegister[[#This Row],[VCDB Index]],tblHITIndexWeightTable[],4,FALSE),"")</f>
        <v/>
      </c>
      <c r="H50" s="45">
        <f>VLOOKUP(tblRiskRegister[[#This Row],[Asset Class]],tblImpactIndex[],2,FALSE)</f>
        <v>0</v>
      </c>
      <c r="I50" s="45">
        <f>VLOOKUP(tblRiskRegister[[#This Row],[Asset Class]],tblImpactIndex[],3,FALSE)</f>
        <v>0</v>
      </c>
      <c r="J50" s="45">
        <f>VLOOKUP(tblRiskRegister[[#This Row],[Asset Class]],tblImpactIndex[],4,FALSE)</f>
        <v>0</v>
      </c>
      <c r="K50" s="45" t="str">
        <f>IFERROR(MAX(tblRiskRegister[[#This Row],[Impact to Mission]:[Impact to Obligations]])*tblRiskRegister[[#This Row],[Expectancy Score]],"")</f>
        <v/>
      </c>
      <c r="L50" s="45" t="str">
        <f>tblRiskRegister[[#This Row],[Risk Score]]</f>
        <v/>
      </c>
      <c r="M50" s="214"/>
      <c r="N50" s="37">
        <v>9.4</v>
      </c>
      <c r="O50" s="24" t="s">
        <v>85</v>
      </c>
      <c r="P50" s="24" t="s">
        <v>186</v>
      </c>
      <c r="Q50" s="24"/>
      <c r="R50" s="25"/>
      <c r="S50" s="46" t="str">
        <f>IFERROR(VLOOKUP(10*tblRiskRegister[[#This Row],[Risk Treatment Safeguard Maturity Score]]+tblRiskRegister[[#This Row],[VCDB Index]],tblHITIndexWeightTable[],4,FALSE),"")</f>
        <v/>
      </c>
      <c r="T50" s="46">
        <f>VLOOKUP(tblRiskRegister[[#This Row],[Asset Class]],tblImpactIndex[],2,FALSE)</f>
        <v>0</v>
      </c>
      <c r="U50" s="46">
        <f>VLOOKUP(tblRiskRegister[[#This Row],[Asset Class]],tblImpactIndex[],3,FALSE)</f>
        <v>0</v>
      </c>
      <c r="V50" s="46">
        <f>VLOOKUP(tblRiskRegister[[#This Row],[Asset Class]],tblImpactIndex[],4,FALSE)</f>
        <v>0</v>
      </c>
      <c r="W50" s="46" t="str">
        <f>IFERROR(MAX(tblRiskRegister[[#This Row],[Risk Treatment Safeguard Impact to Mission]:[Risk Treatment Safeguard Impact to Obligations]])*tblRiskRegister[[#This Row],[Risk Treatment
Safeguard Expectancy Score]],"")</f>
        <v/>
      </c>
      <c r="X50" s="46" t="str">
        <f>IF(tblRiskRegister[[#This Row],[Risk Score]]&gt;5,IF(tblRiskRegister[[#This Row],[Risk Treatment Safeguard Risk Score]]&lt;6, IF(tblRiskRegister[[#This Row],[Risk Treatment Safeguard Risk Score]]&lt;=tblRiskRegister[[#This Row],[Risk Score]],"Yes","No"),"No"),"Yes")</f>
        <v>No</v>
      </c>
      <c r="Y50" s="26"/>
      <c r="Z50" s="26"/>
      <c r="AA50" s="27"/>
    </row>
    <row r="51" spans="2:27" ht="25.5" x14ac:dyDescent="0.2">
      <c r="B51" s="22">
        <v>10.1</v>
      </c>
      <c r="C51" s="23" t="s">
        <v>86</v>
      </c>
      <c r="D51" s="176" t="s">
        <v>146</v>
      </c>
      <c r="E51" s="25"/>
      <c r="F51" s="45">
        <f>IFERROR(VLOOKUP(tblRiskRegister[[#This Row],[Asset Class]],tblVCDBIndex[],4,FALSE),"")</f>
        <v>3</v>
      </c>
      <c r="G51" s="45" t="str">
        <f>IFERROR(VLOOKUP(10*tblRiskRegister[[#This Row],[Safeguard Maturity Score]]+tblRiskRegister[[#This Row],[VCDB Index]],tblHITIndexWeightTable[],4,FALSE),"")</f>
        <v/>
      </c>
      <c r="H51" s="45">
        <f>VLOOKUP(tblRiskRegister[[#This Row],[Asset Class]],tblImpactIndex[],2,FALSE)</f>
        <v>0</v>
      </c>
      <c r="I51" s="45">
        <f>VLOOKUP(tblRiskRegister[[#This Row],[Asset Class]],tblImpactIndex[],3,FALSE)</f>
        <v>0</v>
      </c>
      <c r="J51" s="45">
        <f>VLOOKUP(tblRiskRegister[[#This Row],[Asset Class]],tblImpactIndex[],4,FALSE)</f>
        <v>0</v>
      </c>
      <c r="K51" s="45" t="str">
        <f>IFERROR(MAX(tblRiskRegister[[#This Row],[Impact to Mission]:[Impact to Obligations]])*tblRiskRegister[[#This Row],[Expectancy Score]],"")</f>
        <v/>
      </c>
      <c r="L51" s="45" t="str">
        <f>tblRiskRegister[[#This Row],[Risk Score]]</f>
        <v/>
      </c>
      <c r="M51" s="214"/>
      <c r="N51" s="37">
        <v>10.1</v>
      </c>
      <c r="O51" s="24" t="s">
        <v>86</v>
      </c>
      <c r="P51" s="24" t="s">
        <v>389</v>
      </c>
      <c r="Q51" s="24"/>
      <c r="R51" s="25"/>
      <c r="S51" s="46" t="str">
        <f>IFERROR(VLOOKUP(10*tblRiskRegister[[#This Row],[Risk Treatment Safeguard Maturity Score]]+tblRiskRegister[[#This Row],[VCDB Index]],tblHITIndexWeightTable[],4,FALSE),"")</f>
        <v/>
      </c>
      <c r="T51" s="46">
        <f>VLOOKUP(tblRiskRegister[[#This Row],[Asset Class]],tblImpactIndex[],2,FALSE)</f>
        <v>0</v>
      </c>
      <c r="U51" s="46">
        <f>VLOOKUP(tblRiskRegister[[#This Row],[Asset Class]],tblImpactIndex[],3,FALSE)</f>
        <v>0</v>
      </c>
      <c r="V51" s="46">
        <f>VLOOKUP(tblRiskRegister[[#This Row],[Asset Class]],tblImpactIndex[],4,FALSE)</f>
        <v>0</v>
      </c>
      <c r="W51" s="46" t="str">
        <f>IFERROR(MAX(tblRiskRegister[[#This Row],[Risk Treatment Safeguard Impact to Mission]:[Risk Treatment Safeguard Impact to Obligations]])*tblRiskRegister[[#This Row],[Risk Treatment
Safeguard Expectancy Score]],"")</f>
        <v/>
      </c>
      <c r="X51" s="46" t="str">
        <f>IF(tblRiskRegister[[#This Row],[Risk Score]]&gt;5,IF(tblRiskRegister[[#This Row],[Risk Treatment Safeguard Risk Score]]&lt;6, IF(tblRiskRegister[[#This Row],[Risk Treatment Safeguard Risk Score]]&lt;=tblRiskRegister[[#This Row],[Risk Score]],"Yes","No"),"No"),"Yes")</f>
        <v>No</v>
      </c>
      <c r="Y51" s="26"/>
      <c r="Z51" s="26"/>
      <c r="AA51" s="27"/>
    </row>
    <row r="52" spans="2:27" ht="38.25" x14ac:dyDescent="0.2">
      <c r="B52" s="22">
        <v>10.199999999999999</v>
      </c>
      <c r="C52" s="23" t="s">
        <v>28</v>
      </c>
      <c r="D52" s="176" t="s">
        <v>146</v>
      </c>
      <c r="E52" s="25"/>
      <c r="F52" s="45">
        <f>IFERROR(VLOOKUP(tblRiskRegister[[#This Row],[Asset Class]],tblVCDBIndex[],4,FALSE),"")</f>
        <v>3</v>
      </c>
      <c r="G52" s="45" t="str">
        <f>IFERROR(VLOOKUP(10*tblRiskRegister[[#This Row],[Safeguard Maturity Score]]+tblRiskRegister[[#This Row],[VCDB Index]],tblHITIndexWeightTable[],4,FALSE),"")</f>
        <v/>
      </c>
      <c r="H52" s="45">
        <f>VLOOKUP(tblRiskRegister[[#This Row],[Asset Class]],tblImpactIndex[],2,FALSE)</f>
        <v>0</v>
      </c>
      <c r="I52" s="45">
        <f>VLOOKUP(tblRiskRegister[[#This Row],[Asset Class]],tblImpactIndex[],3,FALSE)</f>
        <v>0</v>
      </c>
      <c r="J52" s="45">
        <f>VLOOKUP(tblRiskRegister[[#This Row],[Asset Class]],tblImpactIndex[],4,FALSE)</f>
        <v>0</v>
      </c>
      <c r="K52" s="45" t="str">
        <f>IFERROR(MAX(tblRiskRegister[[#This Row],[Impact to Mission]:[Impact to Obligations]])*tblRiskRegister[[#This Row],[Expectancy Score]],"")</f>
        <v/>
      </c>
      <c r="L52" s="45" t="str">
        <f>tblRiskRegister[[#This Row],[Risk Score]]</f>
        <v/>
      </c>
      <c r="M52" s="214"/>
      <c r="N52" s="37">
        <v>10.199999999999999</v>
      </c>
      <c r="O52" s="24" t="s">
        <v>28</v>
      </c>
      <c r="P52" s="24" t="s">
        <v>187</v>
      </c>
      <c r="Q52" s="24"/>
      <c r="R52" s="25"/>
      <c r="S52" s="46" t="str">
        <f>IFERROR(VLOOKUP(10*tblRiskRegister[[#This Row],[Risk Treatment Safeguard Maturity Score]]+tblRiskRegister[[#This Row],[VCDB Index]],tblHITIndexWeightTable[],4,FALSE),"")</f>
        <v/>
      </c>
      <c r="T52" s="46">
        <f>VLOOKUP(tblRiskRegister[[#This Row],[Asset Class]],tblImpactIndex[],2,FALSE)</f>
        <v>0</v>
      </c>
      <c r="U52" s="46">
        <f>VLOOKUP(tblRiskRegister[[#This Row],[Asset Class]],tblImpactIndex[],3,FALSE)</f>
        <v>0</v>
      </c>
      <c r="V52" s="46">
        <f>VLOOKUP(tblRiskRegister[[#This Row],[Asset Class]],tblImpactIndex[],4,FALSE)</f>
        <v>0</v>
      </c>
      <c r="W52" s="46" t="str">
        <f>IFERROR(MAX(tblRiskRegister[[#This Row],[Risk Treatment Safeguard Impact to Mission]:[Risk Treatment Safeguard Impact to Obligations]])*tblRiskRegister[[#This Row],[Risk Treatment
Safeguard Expectancy Score]],"")</f>
        <v/>
      </c>
      <c r="X52" s="46" t="str">
        <f>IF(tblRiskRegister[[#This Row],[Risk Score]]&gt;5,IF(tblRiskRegister[[#This Row],[Risk Treatment Safeguard Risk Score]]&lt;6, IF(tblRiskRegister[[#This Row],[Risk Treatment Safeguard Risk Score]]&lt;=tblRiskRegister[[#This Row],[Risk Score]],"Yes","No"),"No"),"Yes")</f>
        <v>No</v>
      </c>
      <c r="Y52" s="26"/>
      <c r="Z52" s="26"/>
      <c r="AA52" s="27"/>
    </row>
    <row r="53" spans="2:27" ht="51" x14ac:dyDescent="0.2">
      <c r="B53" s="22">
        <v>10.4</v>
      </c>
      <c r="C53" s="23" t="s">
        <v>87</v>
      </c>
      <c r="D53" s="176" t="s">
        <v>146</v>
      </c>
      <c r="E53" s="25"/>
      <c r="F53" s="45">
        <f>IFERROR(VLOOKUP(tblRiskRegister[[#This Row],[Asset Class]],tblVCDBIndex[],4,FALSE),"")</f>
        <v>3</v>
      </c>
      <c r="G53" s="45" t="str">
        <f>IFERROR(VLOOKUP(10*tblRiskRegister[[#This Row],[Safeguard Maturity Score]]+tblRiskRegister[[#This Row],[VCDB Index]],tblHITIndexWeightTable[],4,FALSE),"")</f>
        <v/>
      </c>
      <c r="H53" s="45">
        <f>VLOOKUP(tblRiskRegister[[#This Row],[Asset Class]],tblImpactIndex[],2,FALSE)</f>
        <v>0</v>
      </c>
      <c r="I53" s="45">
        <f>VLOOKUP(tblRiskRegister[[#This Row],[Asset Class]],tblImpactIndex[],3,FALSE)</f>
        <v>0</v>
      </c>
      <c r="J53" s="45">
        <f>VLOOKUP(tblRiskRegister[[#This Row],[Asset Class]],tblImpactIndex[],4,FALSE)</f>
        <v>0</v>
      </c>
      <c r="K53" s="45" t="str">
        <f>IFERROR(MAX(tblRiskRegister[[#This Row],[Impact to Mission]:[Impact to Obligations]])*tblRiskRegister[[#This Row],[Expectancy Score]],"")</f>
        <v/>
      </c>
      <c r="L53" s="45" t="str">
        <f>tblRiskRegister[[#This Row],[Risk Score]]</f>
        <v/>
      </c>
      <c r="M53" s="214"/>
      <c r="N53" s="37">
        <v>10.4</v>
      </c>
      <c r="O53" s="24" t="s">
        <v>87</v>
      </c>
      <c r="P53" s="24" t="s">
        <v>188</v>
      </c>
      <c r="Q53" s="24"/>
      <c r="R53" s="25"/>
      <c r="S53" s="46" t="str">
        <f>IFERROR(VLOOKUP(10*tblRiskRegister[[#This Row],[Risk Treatment Safeguard Maturity Score]]+tblRiskRegister[[#This Row],[VCDB Index]],tblHITIndexWeightTable[],4,FALSE),"")</f>
        <v/>
      </c>
      <c r="T53" s="46">
        <f>VLOOKUP(tblRiskRegister[[#This Row],[Asset Class]],tblImpactIndex[],2,FALSE)</f>
        <v>0</v>
      </c>
      <c r="U53" s="46">
        <f>VLOOKUP(tblRiskRegister[[#This Row],[Asset Class]],tblImpactIndex[],3,FALSE)</f>
        <v>0</v>
      </c>
      <c r="V53" s="46">
        <f>VLOOKUP(tblRiskRegister[[#This Row],[Asset Class]],tblImpactIndex[],4,FALSE)</f>
        <v>0</v>
      </c>
      <c r="W53" s="46" t="str">
        <f>IFERROR(MAX(tblRiskRegister[[#This Row],[Risk Treatment Safeguard Impact to Mission]:[Risk Treatment Safeguard Impact to Obligations]])*tblRiskRegister[[#This Row],[Risk Treatment
Safeguard Expectancy Score]],"")</f>
        <v/>
      </c>
      <c r="X53" s="46" t="str">
        <f>IF(tblRiskRegister[[#This Row],[Risk Score]]&gt;5,IF(tblRiskRegister[[#This Row],[Risk Treatment Safeguard Risk Score]]&lt;6, IF(tblRiskRegister[[#This Row],[Risk Treatment Safeguard Risk Score]]&lt;=tblRiskRegister[[#This Row],[Risk Score]],"Yes","No"),"No"),"Yes")</f>
        <v>No</v>
      </c>
      <c r="Y53" s="26"/>
      <c r="Z53" s="26"/>
      <c r="AA53" s="27"/>
    </row>
    <row r="54" spans="2:27" ht="51" x14ac:dyDescent="0.2">
      <c r="B54" s="22">
        <v>10.5</v>
      </c>
      <c r="C54" s="23" t="s">
        <v>88</v>
      </c>
      <c r="D54" s="176" t="s">
        <v>146</v>
      </c>
      <c r="E54" s="25"/>
      <c r="F54" s="45">
        <f>IFERROR(VLOOKUP(tblRiskRegister[[#This Row],[Asset Class]],tblVCDBIndex[],4,FALSE),"")</f>
        <v>3</v>
      </c>
      <c r="G54" s="45" t="str">
        <f>IFERROR(VLOOKUP(10*tblRiskRegister[[#This Row],[Safeguard Maturity Score]]+tblRiskRegister[[#This Row],[VCDB Index]],tblHITIndexWeightTable[],4,FALSE),"")</f>
        <v/>
      </c>
      <c r="H54" s="45">
        <f>VLOOKUP(tblRiskRegister[[#This Row],[Asset Class]],tblImpactIndex[],2,FALSE)</f>
        <v>0</v>
      </c>
      <c r="I54" s="45">
        <f>VLOOKUP(tblRiskRegister[[#This Row],[Asset Class]],tblImpactIndex[],3,FALSE)</f>
        <v>0</v>
      </c>
      <c r="J54" s="45">
        <f>VLOOKUP(tblRiskRegister[[#This Row],[Asset Class]],tblImpactIndex[],4,FALSE)</f>
        <v>0</v>
      </c>
      <c r="K54" s="45" t="str">
        <f>IFERROR(MAX(tblRiskRegister[[#This Row],[Impact to Mission]:[Impact to Obligations]])*tblRiskRegister[[#This Row],[Expectancy Score]],"")</f>
        <v/>
      </c>
      <c r="L54" s="45" t="str">
        <f>tblRiskRegister[[#This Row],[Risk Score]]</f>
        <v/>
      </c>
      <c r="M54" s="214"/>
      <c r="N54" s="37">
        <v>10.5</v>
      </c>
      <c r="O54" s="24" t="s">
        <v>88</v>
      </c>
      <c r="P54" s="24" t="s">
        <v>189</v>
      </c>
      <c r="Q54" s="24"/>
      <c r="R54" s="25"/>
      <c r="S54" s="46" t="str">
        <f>IFERROR(VLOOKUP(10*tblRiskRegister[[#This Row],[Risk Treatment Safeguard Maturity Score]]+tblRiskRegister[[#This Row],[VCDB Index]],tblHITIndexWeightTable[],4,FALSE),"")</f>
        <v/>
      </c>
      <c r="T54" s="46">
        <f>VLOOKUP(tblRiskRegister[[#This Row],[Asset Class]],tblImpactIndex[],2,FALSE)</f>
        <v>0</v>
      </c>
      <c r="U54" s="46">
        <f>VLOOKUP(tblRiskRegister[[#This Row],[Asset Class]],tblImpactIndex[],3,FALSE)</f>
        <v>0</v>
      </c>
      <c r="V54" s="46">
        <f>VLOOKUP(tblRiskRegister[[#This Row],[Asset Class]],tblImpactIndex[],4,FALSE)</f>
        <v>0</v>
      </c>
      <c r="W54" s="46" t="str">
        <f>IFERROR(MAX(tblRiskRegister[[#This Row],[Risk Treatment Safeguard Impact to Mission]:[Risk Treatment Safeguard Impact to Obligations]])*tblRiskRegister[[#This Row],[Risk Treatment
Safeguard Expectancy Score]],"")</f>
        <v/>
      </c>
      <c r="X54" s="46" t="str">
        <f>IF(tblRiskRegister[[#This Row],[Risk Score]]&gt;5,IF(tblRiskRegister[[#This Row],[Risk Treatment Safeguard Risk Score]]&lt;6, IF(tblRiskRegister[[#This Row],[Risk Treatment Safeguard Risk Score]]&lt;=tblRiskRegister[[#This Row],[Risk Score]],"Yes","No"),"No"),"Yes")</f>
        <v>No</v>
      </c>
      <c r="Y54" s="26"/>
      <c r="Z54" s="26"/>
      <c r="AA54" s="27"/>
    </row>
    <row r="55" spans="2:27" ht="63.75" x14ac:dyDescent="0.2">
      <c r="B55" s="22">
        <v>11.4</v>
      </c>
      <c r="C55" s="23" t="s">
        <v>89</v>
      </c>
      <c r="D55" s="176" t="s">
        <v>149</v>
      </c>
      <c r="E55" s="25"/>
      <c r="F55" s="45">
        <f>IFERROR(VLOOKUP(tblRiskRegister[[#This Row],[Asset Class]],tblVCDBIndex[],4,FALSE),"")</f>
        <v>1</v>
      </c>
      <c r="G55" s="45" t="str">
        <f>IFERROR(VLOOKUP(10*tblRiskRegister[[#This Row],[Safeguard Maturity Score]]+tblRiskRegister[[#This Row],[VCDB Index]],tblHITIndexWeightTable[],4,FALSE),"")</f>
        <v/>
      </c>
      <c r="H55" s="45">
        <f>VLOOKUP(tblRiskRegister[[#This Row],[Asset Class]],tblImpactIndex[],2,FALSE)</f>
        <v>0</v>
      </c>
      <c r="I55" s="45">
        <f>VLOOKUP(tblRiskRegister[[#This Row],[Asset Class]],tblImpactIndex[],3,FALSE)</f>
        <v>0</v>
      </c>
      <c r="J55" s="45">
        <f>VLOOKUP(tblRiskRegister[[#This Row],[Asset Class]],tblImpactIndex[],4,FALSE)</f>
        <v>0</v>
      </c>
      <c r="K55" s="45" t="str">
        <f>IFERROR(MAX(tblRiskRegister[[#This Row],[Impact to Mission]:[Impact to Obligations]])*tblRiskRegister[[#This Row],[Expectancy Score]],"")</f>
        <v/>
      </c>
      <c r="L55" s="45" t="str">
        <f>tblRiskRegister[[#This Row],[Risk Score]]</f>
        <v/>
      </c>
      <c r="M55" s="214"/>
      <c r="N55" s="37">
        <v>11.4</v>
      </c>
      <c r="O55" s="24" t="s">
        <v>89</v>
      </c>
      <c r="P55" s="24" t="s">
        <v>190</v>
      </c>
      <c r="Q55" s="24"/>
      <c r="R55" s="25"/>
      <c r="S55" s="46" t="str">
        <f>IFERROR(VLOOKUP(10*tblRiskRegister[[#This Row],[Risk Treatment Safeguard Maturity Score]]+tblRiskRegister[[#This Row],[VCDB Index]],tblHITIndexWeightTable[],4,FALSE),"")</f>
        <v/>
      </c>
      <c r="T55" s="46">
        <f>VLOOKUP(tblRiskRegister[[#This Row],[Asset Class]],tblImpactIndex[],2,FALSE)</f>
        <v>0</v>
      </c>
      <c r="U55" s="46">
        <f>VLOOKUP(tblRiskRegister[[#This Row],[Asset Class]],tblImpactIndex[],3,FALSE)</f>
        <v>0</v>
      </c>
      <c r="V55" s="46">
        <f>VLOOKUP(tblRiskRegister[[#This Row],[Asset Class]],tblImpactIndex[],4,FALSE)</f>
        <v>0</v>
      </c>
      <c r="W55" s="46" t="str">
        <f>IFERROR(MAX(tblRiskRegister[[#This Row],[Risk Treatment Safeguard Impact to Mission]:[Risk Treatment Safeguard Impact to Obligations]])*tblRiskRegister[[#This Row],[Risk Treatment
Safeguard Expectancy Score]],"")</f>
        <v/>
      </c>
      <c r="X55" s="46" t="str">
        <f>IF(tblRiskRegister[[#This Row],[Risk Score]]&gt;5,IF(tblRiskRegister[[#This Row],[Risk Treatment Safeguard Risk Score]]&lt;6, IF(tblRiskRegister[[#This Row],[Risk Treatment Safeguard Risk Score]]&lt;=tblRiskRegister[[#This Row],[Risk Score]],"Yes","No"),"No"),"Yes")</f>
        <v>No</v>
      </c>
      <c r="Y55" s="26"/>
      <c r="Z55" s="26"/>
      <c r="AA55" s="27"/>
    </row>
    <row r="56" spans="2:27" ht="25.5" x14ac:dyDescent="0.2">
      <c r="B56" s="22">
        <v>12.1</v>
      </c>
      <c r="C56" s="23" t="s">
        <v>29</v>
      </c>
      <c r="D56" s="176" t="s">
        <v>149</v>
      </c>
      <c r="E56" s="25"/>
      <c r="F56" s="45">
        <f>IFERROR(VLOOKUP(tblRiskRegister[[#This Row],[Asset Class]],tblVCDBIndex[],4,FALSE),"")</f>
        <v>1</v>
      </c>
      <c r="G56" s="45" t="str">
        <f>IFERROR(VLOOKUP(10*tblRiskRegister[[#This Row],[Safeguard Maturity Score]]+tblRiskRegister[[#This Row],[VCDB Index]],tblHITIndexWeightTable[],4,FALSE),"")</f>
        <v/>
      </c>
      <c r="H56" s="45">
        <f>VLOOKUP(tblRiskRegister[[#This Row],[Asset Class]],tblImpactIndex[],2,FALSE)</f>
        <v>0</v>
      </c>
      <c r="I56" s="45">
        <f>VLOOKUP(tblRiskRegister[[#This Row],[Asset Class]],tblImpactIndex[],3,FALSE)</f>
        <v>0</v>
      </c>
      <c r="J56" s="45">
        <f>VLOOKUP(tblRiskRegister[[#This Row],[Asset Class]],tblImpactIndex[],4,FALSE)</f>
        <v>0</v>
      </c>
      <c r="K56" s="45" t="str">
        <f>IFERROR(MAX(tblRiskRegister[[#This Row],[Impact to Mission]:[Impact to Obligations]])*tblRiskRegister[[#This Row],[Expectancy Score]],"")</f>
        <v/>
      </c>
      <c r="L56" s="45" t="str">
        <f>tblRiskRegister[[#This Row],[Risk Score]]</f>
        <v/>
      </c>
      <c r="M56" s="214"/>
      <c r="N56" s="37">
        <v>12.1</v>
      </c>
      <c r="O56" s="24" t="s">
        <v>29</v>
      </c>
      <c r="P56" s="24" t="s">
        <v>191</v>
      </c>
      <c r="Q56" s="24"/>
      <c r="R56" s="25"/>
      <c r="S56" s="46" t="str">
        <f>IFERROR(VLOOKUP(10*tblRiskRegister[[#This Row],[Risk Treatment Safeguard Maturity Score]]+tblRiskRegister[[#This Row],[VCDB Index]],tblHITIndexWeightTable[],4,FALSE),"")</f>
        <v/>
      </c>
      <c r="T56" s="46">
        <f>VLOOKUP(tblRiskRegister[[#This Row],[Asset Class]],tblImpactIndex[],2,FALSE)</f>
        <v>0</v>
      </c>
      <c r="U56" s="46">
        <f>VLOOKUP(tblRiskRegister[[#This Row],[Asset Class]],tblImpactIndex[],3,FALSE)</f>
        <v>0</v>
      </c>
      <c r="V56" s="46">
        <f>VLOOKUP(tblRiskRegister[[#This Row],[Asset Class]],tblImpactIndex[],4,FALSE)</f>
        <v>0</v>
      </c>
      <c r="W56" s="46" t="str">
        <f>IFERROR(MAX(tblRiskRegister[[#This Row],[Risk Treatment Safeguard Impact to Mission]:[Risk Treatment Safeguard Impact to Obligations]])*tblRiskRegister[[#This Row],[Risk Treatment
Safeguard Expectancy Score]],"")</f>
        <v/>
      </c>
      <c r="X56" s="46" t="str">
        <f>IF(tblRiskRegister[[#This Row],[Risk Score]]&gt;5,IF(tblRiskRegister[[#This Row],[Risk Treatment Safeguard Risk Score]]&lt;6, IF(tblRiskRegister[[#This Row],[Risk Treatment Safeguard Risk Score]]&lt;=tblRiskRegister[[#This Row],[Risk Score]],"Yes","No"),"No"),"Yes")</f>
        <v>No</v>
      </c>
      <c r="Y56" s="26"/>
      <c r="Z56" s="26"/>
      <c r="AA56" s="27"/>
    </row>
    <row r="57" spans="2:27" ht="51" x14ac:dyDescent="0.2">
      <c r="B57" s="22">
        <v>12.4</v>
      </c>
      <c r="C57" s="23" t="s">
        <v>90</v>
      </c>
      <c r="D57" s="176" t="s">
        <v>149</v>
      </c>
      <c r="E57" s="25"/>
      <c r="F57" s="45">
        <f>IFERROR(VLOOKUP(tblRiskRegister[[#This Row],[Asset Class]],tblVCDBIndex[],4,FALSE),"")</f>
        <v>1</v>
      </c>
      <c r="G57" s="45" t="str">
        <f>IFERROR(VLOOKUP(10*tblRiskRegister[[#This Row],[Safeguard Maturity Score]]+tblRiskRegister[[#This Row],[VCDB Index]],tblHITIndexWeightTable[],4,FALSE),"")</f>
        <v/>
      </c>
      <c r="H57" s="45">
        <f>VLOOKUP(tblRiskRegister[[#This Row],[Asset Class]],tblImpactIndex[],2,FALSE)</f>
        <v>0</v>
      </c>
      <c r="I57" s="45">
        <f>VLOOKUP(tblRiskRegister[[#This Row],[Asset Class]],tblImpactIndex[],3,FALSE)</f>
        <v>0</v>
      </c>
      <c r="J57" s="45">
        <f>VLOOKUP(tblRiskRegister[[#This Row],[Asset Class]],tblImpactIndex[],4,FALSE)</f>
        <v>0</v>
      </c>
      <c r="K57" s="45" t="str">
        <f>IFERROR(MAX(tblRiskRegister[[#This Row],[Impact to Mission]:[Impact to Obligations]])*tblRiskRegister[[#This Row],[Expectancy Score]],"")</f>
        <v/>
      </c>
      <c r="L57" s="45" t="str">
        <f>tblRiskRegister[[#This Row],[Risk Score]]</f>
        <v/>
      </c>
      <c r="M57" s="214"/>
      <c r="N57" s="37">
        <v>12.4</v>
      </c>
      <c r="O57" s="24" t="s">
        <v>90</v>
      </c>
      <c r="P57" s="24" t="s">
        <v>192</v>
      </c>
      <c r="Q57" s="24"/>
      <c r="R57" s="25"/>
      <c r="S57" s="46" t="str">
        <f>IFERROR(VLOOKUP(10*tblRiskRegister[[#This Row],[Risk Treatment Safeguard Maturity Score]]+tblRiskRegister[[#This Row],[VCDB Index]],tblHITIndexWeightTable[],4,FALSE),"")</f>
        <v/>
      </c>
      <c r="T57" s="46">
        <f>VLOOKUP(tblRiskRegister[[#This Row],[Asset Class]],tblImpactIndex[],2,FALSE)</f>
        <v>0</v>
      </c>
      <c r="U57" s="46">
        <f>VLOOKUP(tblRiskRegister[[#This Row],[Asset Class]],tblImpactIndex[],3,FALSE)</f>
        <v>0</v>
      </c>
      <c r="V57" s="46">
        <f>VLOOKUP(tblRiskRegister[[#This Row],[Asset Class]],tblImpactIndex[],4,FALSE)</f>
        <v>0</v>
      </c>
      <c r="W57" s="46" t="str">
        <f>IFERROR(MAX(tblRiskRegister[[#This Row],[Risk Treatment Safeguard Impact to Mission]:[Risk Treatment Safeguard Impact to Obligations]])*tblRiskRegister[[#This Row],[Risk Treatment
Safeguard Expectancy Score]],"")</f>
        <v/>
      </c>
      <c r="X57" s="46" t="str">
        <f>IF(tblRiskRegister[[#This Row],[Risk Score]]&gt;5,IF(tblRiskRegister[[#This Row],[Risk Treatment Safeguard Risk Score]]&lt;6, IF(tblRiskRegister[[#This Row],[Risk Treatment Safeguard Risk Score]]&lt;=tblRiskRegister[[#This Row],[Risk Score]],"Yes","No"),"No"),"Yes")</f>
        <v>No</v>
      </c>
      <c r="Y57" s="26"/>
      <c r="Z57" s="26"/>
      <c r="AA57" s="27"/>
    </row>
    <row r="58" spans="2:27" ht="51" x14ac:dyDescent="0.2">
      <c r="B58" s="22">
        <v>13.1</v>
      </c>
      <c r="C58" s="23" t="s">
        <v>91</v>
      </c>
      <c r="D58" s="176" t="s">
        <v>146</v>
      </c>
      <c r="E58" s="25"/>
      <c r="F58" s="45">
        <f>IFERROR(VLOOKUP(tblRiskRegister[[#This Row],[Asset Class]],tblVCDBIndex[],4,FALSE),"")</f>
        <v>3</v>
      </c>
      <c r="G58" s="45" t="str">
        <f>IFERROR(VLOOKUP(10*tblRiskRegister[[#This Row],[Safeguard Maturity Score]]+tblRiskRegister[[#This Row],[VCDB Index]],tblHITIndexWeightTable[],4,FALSE),"")</f>
        <v/>
      </c>
      <c r="H58" s="45">
        <f>VLOOKUP(tblRiskRegister[[#This Row],[Asset Class]],tblImpactIndex[],2,FALSE)</f>
        <v>0</v>
      </c>
      <c r="I58" s="45">
        <f>VLOOKUP(tblRiskRegister[[#This Row],[Asset Class]],tblImpactIndex[],3,FALSE)</f>
        <v>0</v>
      </c>
      <c r="J58" s="45">
        <f>VLOOKUP(tblRiskRegister[[#This Row],[Asset Class]],tblImpactIndex[],4,FALSE)</f>
        <v>0</v>
      </c>
      <c r="K58" s="45" t="str">
        <f>IFERROR(MAX(tblRiskRegister[[#This Row],[Impact to Mission]:[Impact to Obligations]])*tblRiskRegister[[#This Row],[Expectancy Score]],"")</f>
        <v/>
      </c>
      <c r="L58" s="45" t="str">
        <f>tblRiskRegister[[#This Row],[Risk Score]]</f>
        <v/>
      </c>
      <c r="M58" s="214"/>
      <c r="N58" s="37">
        <v>13.1</v>
      </c>
      <c r="O58" s="24" t="s">
        <v>91</v>
      </c>
      <c r="P58" s="24" t="s">
        <v>193</v>
      </c>
      <c r="Q58" s="24"/>
      <c r="R58" s="25"/>
      <c r="S58" s="46" t="str">
        <f>IFERROR(VLOOKUP(10*tblRiskRegister[[#This Row],[Risk Treatment Safeguard Maturity Score]]+tblRiskRegister[[#This Row],[VCDB Index]],tblHITIndexWeightTable[],4,FALSE),"")</f>
        <v/>
      </c>
      <c r="T58" s="46">
        <f>VLOOKUP(tblRiskRegister[[#This Row],[Asset Class]],tblImpactIndex[],2,FALSE)</f>
        <v>0</v>
      </c>
      <c r="U58" s="46">
        <f>VLOOKUP(tblRiskRegister[[#This Row],[Asset Class]],tblImpactIndex[],3,FALSE)</f>
        <v>0</v>
      </c>
      <c r="V58" s="46">
        <f>VLOOKUP(tblRiskRegister[[#This Row],[Asset Class]],tblImpactIndex[],4,FALSE)</f>
        <v>0</v>
      </c>
      <c r="W58" s="46" t="str">
        <f>IFERROR(MAX(tblRiskRegister[[#This Row],[Risk Treatment Safeguard Impact to Mission]:[Risk Treatment Safeguard Impact to Obligations]])*tblRiskRegister[[#This Row],[Risk Treatment
Safeguard Expectancy Score]],"")</f>
        <v/>
      </c>
      <c r="X58" s="46" t="str">
        <f>IF(tblRiskRegister[[#This Row],[Risk Score]]&gt;5,IF(tblRiskRegister[[#This Row],[Risk Treatment Safeguard Risk Score]]&lt;6, IF(tblRiskRegister[[#This Row],[Risk Treatment Safeguard Risk Score]]&lt;=tblRiskRegister[[#This Row],[Risk Score]],"Yes","No"),"No"),"Yes")</f>
        <v>No</v>
      </c>
      <c r="Y58" s="26"/>
      <c r="Z58" s="26"/>
      <c r="AA58" s="27"/>
    </row>
    <row r="59" spans="2:27" ht="63.75" x14ac:dyDescent="0.2">
      <c r="B59" s="22">
        <v>13.2</v>
      </c>
      <c r="C59" s="23" t="s">
        <v>30</v>
      </c>
      <c r="D59" s="176" t="s">
        <v>146</v>
      </c>
      <c r="E59" s="25"/>
      <c r="F59" s="45">
        <f>IFERROR(VLOOKUP(tblRiskRegister[[#This Row],[Asset Class]],tblVCDBIndex[],4,FALSE),"")</f>
        <v>3</v>
      </c>
      <c r="G59" s="45" t="str">
        <f>IFERROR(VLOOKUP(10*tblRiskRegister[[#This Row],[Safeguard Maturity Score]]+tblRiskRegister[[#This Row],[VCDB Index]],tblHITIndexWeightTable[],4,FALSE),"")</f>
        <v/>
      </c>
      <c r="H59" s="45">
        <f>VLOOKUP(tblRiskRegister[[#This Row],[Asset Class]],tblImpactIndex[],2,FALSE)</f>
        <v>0</v>
      </c>
      <c r="I59" s="45">
        <f>VLOOKUP(tblRiskRegister[[#This Row],[Asset Class]],tblImpactIndex[],3,FALSE)</f>
        <v>0</v>
      </c>
      <c r="J59" s="45">
        <f>VLOOKUP(tblRiskRegister[[#This Row],[Asset Class]],tblImpactIndex[],4,FALSE)</f>
        <v>0</v>
      </c>
      <c r="K59" s="45" t="str">
        <f>IFERROR(MAX(tblRiskRegister[[#This Row],[Impact to Mission]:[Impact to Obligations]])*tblRiskRegister[[#This Row],[Expectancy Score]],"")</f>
        <v/>
      </c>
      <c r="L59" s="45" t="str">
        <f>tblRiskRegister[[#This Row],[Risk Score]]</f>
        <v/>
      </c>
      <c r="M59" s="214"/>
      <c r="N59" s="37">
        <v>13.2</v>
      </c>
      <c r="O59" s="24" t="s">
        <v>30</v>
      </c>
      <c r="P59" s="24" t="s">
        <v>194</v>
      </c>
      <c r="Q59" s="24"/>
      <c r="R59" s="25"/>
      <c r="S59" s="46" t="str">
        <f>IFERROR(VLOOKUP(10*tblRiskRegister[[#This Row],[Risk Treatment Safeguard Maturity Score]]+tblRiskRegister[[#This Row],[VCDB Index]],tblHITIndexWeightTable[],4,FALSE),"")</f>
        <v/>
      </c>
      <c r="T59" s="46">
        <f>VLOOKUP(tblRiskRegister[[#This Row],[Asset Class]],tblImpactIndex[],2,FALSE)</f>
        <v>0</v>
      </c>
      <c r="U59" s="46">
        <f>VLOOKUP(tblRiskRegister[[#This Row],[Asset Class]],tblImpactIndex[],3,FALSE)</f>
        <v>0</v>
      </c>
      <c r="V59" s="46">
        <f>VLOOKUP(tblRiskRegister[[#This Row],[Asset Class]],tblImpactIndex[],4,FALSE)</f>
        <v>0</v>
      </c>
      <c r="W59" s="46" t="str">
        <f>IFERROR(MAX(tblRiskRegister[[#This Row],[Risk Treatment Safeguard Impact to Mission]:[Risk Treatment Safeguard Impact to Obligations]])*tblRiskRegister[[#This Row],[Risk Treatment
Safeguard Expectancy Score]],"")</f>
        <v/>
      </c>
      <c r="X59" s="46" t="str">
        <f>IF(tblRiskRegister[[#This Row],[Risk Score]]&gt;5,IF(tblRiskRegister[[#This Row],[Risk Treatment Safeguard Risk Score]]&lt;6, IF(tblRiskRegister[[#This Row],[Risk Treatment Safeguard Risk Score]]&lt;=tblRiskRegister[[#This Row],[Risk Score]],"Yes","No"),"No"),"Yes")</f>
        <v>No</v>
      </c>
      <c r="Y59" s="26"/>
      <c r="Z59" s="26"/>
      <c r="AA59" s="27"/>
    </row>
    <row r="60" spans="2:27" ht="25.5" x14ac:dyDescent="0.2">
      <c r="B60" s="22">
        <v>13.6</v>
      </c>
      <c r="C60" s="23" t="s">
        <v>92</v>
      </c>
      <c r="D60" s="176" t="s">
        <v>147</v>
      </c>
      <c r="E60" s="25"/>
      <c r="F60" s="45">
        <f>IFERROR(VLOOKUP(tblRiskRegister[[#This Row],[Asset Class]],tblVCDBIndex[],4,FALSE),"")</f>
        <v>1</v>
      </c>
      <c r="G60" s="45" t="str">
        <f>IFERROR(VLOOKUP(10*tblRiskRegister[[#This Row],[Safeguard Maturity Score]]+tblRiskRegister[[#This Row],[VCDB Index]],tblHITIndexWeightTable[],4,FALSE),"")</f>
        <v/>
      </c>
      <c r="H60" s="45">
        <f>VLOOKUP(tblRiskRegister[[#This Row],[Asset Class]],tblImpactIndex[],2,FALSE)</f>
        <v>0</v>
      </c>
      <c r="I60" s="45">
        <f>VLOOKUP(tblRiskRegister[[#This Row],[Asset Class]],tblImpactIndex[],3,FALSE)</f>
        <v>0</v>
      </c>
      <c r="J60" s="45">
        <f>VLOOKUP(tblRiskRegister[[#This Row],[Asset Class]],tblImpactIndex[],4,FALSE)</f>
        <v>0</v>
      </c>
      <c r="K60" s="45" t="str">
        <f>IFERROR(MAX(tblRiskRegister[[#This Row],[Impact to Mission]:[Impact to Obligations]])*tblRiskRegister[[#This Row],[Expectancy Score]],"")</f>
        <v/>
      </c>
      <c r="L60" s="45" t="str">
        <f>tblRiskRegister[[#This Row],[Risk Score]]</f>
        <v/>
      </c>
      <c r="M60" s="214"/>
      <c r="N60" s="37">
        <v>13.6</v>
      </c>
      <c r="O60" s="24" t="s">
        <v>92</v>
      </c>
      <c r="P60" s="24" t="s">
        <v>195</v>
      </c>
      <c r="Q60" s="24"/>
      <c r="R60" s="25"/>
      <c r="S60" s="46" t="str">
        <f>IFERROR(VLOOKUP(10*tblRiskRegister[[#This Row],[Risk Treatment Safeguard Maturity Score]]+tblRiskRegister[[#This Row],[VCDB Index]],tblHITIndexWeightTable[],4,FALSE),"")</f>
        <v/>
      </c>
      <c r="T60" s="46">
        <f>VLOOKUP(tblRiskRegister[[#This Row],[Asset Class]],tblImpactIndex[],2,FALSE)</f>
        <v>0</v>
      </c>
      <c r="U60" s="46">
        <f>VLOOKUP(tblRiskRegister[[#This Row],[Asset Class]],tblImpactIndex[],3,FALSE)</f>
        <v>0</v>
      </c>
      <c r="V60" s="46">
        <f>VLOOKUP(tblRiskRegister[[#This Row],[Asset Class]],tblImpactIndex[],4,FALSE)</f>
        <v>0</v>
      </c>
      <c r="W60" s="46" t="str">
        <f>IFERROR(MAX(tblRiskRegister[[#This Row],[Risk Treatment Safeguard Impact to Mission]:[Risk Treatment Safeguard Impact to Obligations]])*tblRiskRegister[[#This Row],[Risk Treatment
Safeguard Expectancy Score]],"")</f>
        <v/>
      </c>
      <c r="X60" s="46" t="str">
        <f>IF(tblRiskRegister[[#This Row],[Risk Score]]&gt;5,IF(tblRiskRegister[[#This Row],[Risk Treatment Safeguard Risk Score]]&lt;6, IF(tblRiskRegister[[#This Row],[Risk Treatment Safeguard Risk Score]]&lt;=tblRiskRegister[[#This Row],[Risk Score]],"Yes","No"),"No"),"Yes")</f>
        <v>No</v>
      </c>
      <c r="Y60" s="26"/>
      <c r="Z60" s="26"/>
      <c r="AA60" s="27"/>
    </row>
    <row r="61" spans="2:27" ht="76.5" x14ac:dyDescent="0.2">
      <c r="B61" s="22">
        <v>14.6</v>
      </c>
      <c r="C61" s="23" t="s">
        <v>93</v>
      </c>
      <c r="D61" s="176" t="s">
        <v>146</v>
      </c>
      <c r="E61" s="25"/>
      <c r="F61" s="45">
        <f>IFERROR(VLOOKUP(tblRiskRegister[[#This Row],[Asset Class]],tblVCDBIndex[],4,FALSE),"")</f>
        <v>3</v>
      </c>
      <c r="G61" s="45" t="str">
        <f>IFERROR(VLOOKUP(10*tblRiskRegister[[#This Row],[Safeguard Maturity Score]]+tblRiskRegister[[#This Row],[VCDB Index]],tblHITIndexWeightTable[],4,FALSE),"")</f>
        <v/>
      </c>
      <c r="H61" s="45">
        <f>VLOOKUP(tblRiskRegister[[#This Row],[Asset Class]],tblImpactIndex[],2,FALSE)</f>
        <v>0</v>
      </c>
      <c r="I61" s="45">
        <f>VLOOKUP(tblRiskRegister[[#This Row],[Asset Class]],tblImpactIndex[],3,FALSE)</f>
        <v>0</v>
      </c>
      <c r="J61" s="45">
        <f>VLOOKUP(tblRiskRegister[[#This Row],[Asset Class]],tblImpactIndex[],4,FALSE)</f>
        <v>0</v>
      </c>
      <c r="K61" s="45" t="str">
        <f>IFERROR(MAX(tblRiskRegister[[#This Row],[Impact to Mission]:[Impact to Obligations]])*tblRiskRegister[[#This Row],[Expectancy Score]],"")</f>
        <v/>
      </c>
      <c r="L61" s="45" t="str">
        <f>tblRiskRegister[[#This Row],[Risk Score]]</f>
        <v/>
      </c>
      <c r="M61" s="214"/>
      <c r="N61" s="37">
        <v>14.6</v>
      </c>
      <c r="O61" s="24" t="s">
        <v>93</v>
      </c>
      <c r="P61" s="24" t="s">
        <v>196</v>
      </c>
      <c r="Q61" s="24"/>
      <c r="R61" s="25"/>
      <c r="S61" s="46" t="str">
        <f>IFERROR(VLOOKUP(10*tblRiskRegister[[#This Row],[Risk Treatment Safeguard Maturity Score]]+tblRiskRegister[[#This Row],[VCDB Index]],tblHITIndexWeightTable[],4,FALSE),"")</f>
        <v/>
      </c>
      <c r="T61" s="46">
        <f>VLOOKUP(tblRiskRegister[[#This Row],[Asset Class]],tblImpactIndex[],2,FALSE)</f>
        <v>0</v>
      </c>
      <c r="U61" s="46">
        <f>VLOOKUP(tblRiskRegister[[#This Row],[Asset Class]],tblImpactIndex[],3,FALSE)</f>
        <v>0</v>
      </c>
      <c r="V61" s="46">
        <f>VLOOKUP(tblRiskRegister[[#This Row],[Asset Class]],tblImpactIndex[],4,FALSE)</f>
        <v>0</v>
      </c>
      <c r="W61" s="46" t="str">
        <f>IFERROR(MAX(tblRiskRegister[[#This Row],[Risk Treatment Safeguard Impact to Mission]:[Risk Treatment Safeguard Impact to Obligations]])*tblRiskRegister[[#This Row],[Risk Treatment
Safeguard Expectancy Score]],"")</f>
        <v/>
      </c>
      <c r="X61" s="46" t="str">
        <f>IF(tblRiskRegister[[#This Row],[Risk Score]]&gt;5,IF(tblRiskRegister[[#This Row],[Risk Treatment Safeguard Risk Score]]&lt;6, IF(tblRiskRegister[[#This Row],[Risk Treatment Safeguard Risk Score]]&lt;=tblRiskRegister[[#This Row],[Risk Score]],"Yes","No"),"No"),"Yes")</f>
        <v>No</v>
      </c>
      <c r="Y61" s="26"/>
      <c r="Z61" s="26"/>
      <c r="AA61" s="27"/>
    </row>
    <row r="62" spans="2:27" ht="51" x14ac:dyDescent="0.2">
      <c r="B62" s="22">
        <v>15.7</v>
      </c>
      <c r="C62" s="23" t="s">
        <v>31</v>
      </c>
      <c r="D62" s="176" t="s">
        <v>149</v>
      </c>
      <c r="E62" s="25"/>
      <c r="F62" s="45">
        <f>IFERROR(VLOOKUP(tblRiskRegister[[#This Row],[Asset Class]],tblVCDBIndex[],4,FALSE),"")</f>
        <v>1</v>
      </c>
      <c r="G62" s="45" t="str">
        <f>IFERROR(VLOOKUP(10*tblRiskRegister[[#This Row],[Safeguard Maturity Score]]+tblRiskRegister[[#This Row],[VCDB Index]],tblHITIndexWeightTable[],4,FALSE),"")</f>
        <v/>
      </c>
      <c r="H62" s="45">
        <f>VLOOKUP(tblRiskRegister[[#This Row],[Asset Class]],tblImpactIndex[],2,FALSE)</f>
        <v>0</v>
      </c>
      <c r="I62" s="45">
        <f>VLOOKUP(tblRiskRegister[[#This Row],[Asset Class]],tblImpactIndex[],3,FALSE)</f>
        <v>0</v>
      </c>
      <c r="J62" s="45">
        <f>VLOOKUP(tblRiskRegister[[#This Row],[Asset Class]],tblImpactIndex[],4,FALSE)</f>
        <v>0</v>
      </c>
      <c r="K62" s="45" t="str">
        <f>IFERROR(MAX(tblRiskRegister[[#This Row],[Impact to Mission]:[Impact to Obligations]])*tblRiskRegister[[#This Row],[Expectancy Score]],"")</f>
        <v/>
      </c>
      <c r="L62" s="45" t="str">
        <f>tblRiskRegister[[#This Row],[Risk Score]]</f>
        <v/>
      </c>
      <c r="M62" s="214"/>
      <c r="N62" s="37">
        <v>15.7</v>
      </c>
      <c r="O62" s="24" t="s">
        <v>31</v>
      </c>
      <c r="P62" s="24" t="s">
        <v>198</v>
      </c>
      <c r="Q62" s="24"/>
      <c r="R62" s="25"/>
      <c r="S62" s="46" t="str">
        <f>IFERROR(VLOOKUP(10*tblRiskRegister[[#This Row],[Risk Treatment Safeguard Maturity Score]]+tblRiskRegister[[#This Row],[VCDB Index]],tblHITIndexWeightTable[],4,FALSE),"")</f>
        <v/>
      </c>
      <c r="T62" s="46">
        <f>VLOOKUP(tblRiskRegister[[#This Row],[Asset Class]],tblImpactIndex[],2,FALSE)</f>
        <v>0</v>
      </c>
      <c r="U62" s="46">
        <f>VLOOKUP(tblRiskRegister[[#This Row],[Asset Class]],tblImpactIndex[],3,FALSE)</f>
        <v>0</v>
      </c>
      <c r="V62" s="46">
        <f>VLOOKUP(tblRiskRegister[[#This Row],[Asset Class]],tblImpactIndex[],4,FALSE)</f>
        <v>0</v>
      </c>
      <c r="W62" s="46" t="str">
        <f>IFERROR(MAX(tblRiskRegister[[#This Row],[Risk Treatment Safeguard Impact to Mission]:[Risk Treatment Safeguard Impact to Obligations]])*tblRiskRegister[[#This Row],[Risk Treatment
Safeguard Expectancy Score]],"")</f>
        <v/>
      </c>
      <c r="X62" s="46" t="str">
        <f>IF(tblRiskRegister[[#This Row],[Risk Score]]&gt;5,IF(tblRiskRegister[[#This Row],[Risk Treatment Safeguard Risk Score]]&lt;6, IF(tblRiskRegister[[#This Row],[Risk Treatment Safeguard Risk Score]]&lt;=tblRiskRegister[[#This Row],[Risk Score]],"Yes","No"),"No"),"Yes")</f>
        <v>No</v>
      </c>
      <c r="Y62" s="26"/>
      <c r="Z62" s="26"/>
      <c r="AA62" s="27"/>
    </row>
    <row r="63" spans="2:27" ht="51" x14ac:dyDescent="0.2">
      <c r="B63" s="86">
        <v>15.1</v>
      </c>
      <c r="C63" s="23" t="s">
        <v>32</v>
      </c>
      <c r="D63" s="176" t="s">
        <v>149</v>
      </c>
      <c r="E63" s="25"/>
      <c r="F63" s="45">
        <f>IFERROR(VLOOKUP(tblRiskRegister[[#This Row],[Asset Class]],tblVCDBIndex[],4,FALSE),"")</f>
        <v>1</v>
      </c>
      <c r="G63" s="45" t="str">
        <f>IFERROR(VLOOKUP(10*tblRiskRegister[[#This Row],[Safeguard Maturity Score]]+tblRiskRegister[[#This Row],[VCDB Index]],tblHITIndexWeightTable[],4,FALSE),"")</f>
        <v/>
      </c>
      <c r="H63" s="45">
        <f>VLOOKUP(tblRiskRegister[[#This Row],[Asset Class]],tblImpactIndex[],2,FALSE)</f>
        <v>0</v>
      </c>
      <c r="I63" s="45">
        <f>VLOOKUP(tblRiskRegister[[#This Row],[Asset Class]],tblImpactIndex[],3,FALSE)</f>
        <v>0</v>
      </c>
      <c r="J63" s="45">
        <f>VLOOKUP(tblRiskRegister[[#This Row],[Asset Class]],tblImpactIndex[],4,FALSE)</f>
        <v>0</v>
      </c>
      <c r="K63" s="45" t="str">
        <f>IFERROR(MAX(tblRiskRegister[[#This Row],[Impact to Mission]:[Impact to Obligations]])*tblRiskRegister[[#This Row],[Expectancy Score]],"")</f>
        <v/>
      </c>
      <c r="L63" s="45" t="str">
        <f>tblRiskRegister[[#This Row],[Risk Score]]</f>
        <v/>
      </c>
      <c r="M63" s="214"/>
      <c r="N63" s="87">
        <v>15.1</v>
      </c>
      <c r="O63" s="24" t="s">
        <v>32</v>
      </c>
      <c r="P63" s="24" t="s">
        <v>197</v>
      </c>
      <c r="Q63" s="24"/>
      <c r="R63" s="25"/>
      <c r="S63" s="46" t="str">
        <f>IFERROR(VLOOKUP(10*tblRiskRegister[[#This Row],[Risk Treatment Safeguard Maturity Score]]+tblRiskRegister[[#This Row],[VCDB Index]],tblHITIndexWeightTable[],4,FALSE),"")</f>
        <v/>
      </c>
      <c r="T63" s="46">
        <f>VLOOKUP(tblRiskRegister[[#This Row],[Asset Class]],tblImpactIndex[],2,FALSE)</f>
        <v>0</v>
      </c>
      <c r="U63" s="46">
        <f>VLOOKUP(tblRiskRegister[[#This Row],[Asset Class]],tblImpactIndex[],3,FALSE)</f>
        <v>0</v>
      </c>
      <c r="V63" s="46">
        <f>VLOOKUP(tblRiskRegister[[#This Row],[Asset Class]],tblImpactIndex[],4,FALSE)</f>
        <v>0</v>
      </c>
      <c r="W63" s="46" t="str">
        <f>IFERROR(MAX(tblRiskRegister[[#This Row],[Risk Treatment Safeguard Impact to Mission]:[Risk Treatment Safeguard Impact to Obligations]])*tblRiskRegister[[#This Row],[Risk Treatment
Safeguard Expectancy Score]],"")</f>
        <v/>
      </c>
      <c r="X63" s="46" t="str">
        <f>IF(tblRiskRegister[[#This Row],[Risk Score]]&gt;5,IF(tblRiskRegister[[#This Row],[Risk Treatment Safeguard Risk Score]]&lt;6, IF(tblRiskRegister[[#This Row],[Risk Treatment Safeguard Risk Score]]&lt;=tblRiskRegister[[#This Row],[Risk Score]],"Yes","No"),"No"),"Yes")</f>
        <v>No</v>
      </c>
      <c r="Y63" s="26"/>
      <c r="Z63" s="26"/>
      <c r="AA63" s="27"/>
    </row>
    <row r="64" spans="2:27" ht="38.25" x14ac:dyDescent="0.2">
      <c r="B64" s="22">
        <v>16.8</v>
      </c>
      <c r="C64" s="23" t="s">
        <v>33</v>
      </c>
      <c r="D64" s="176" t="s">
        <v>150</v>
      </c>
      <c r="E64" s="25"/>
      <c r="F64" s="45">
        <f>IFERROR(VLOOKUP(tblRiskRegister[[#This Row],[Asset Class]],tblVCDBIndex[],4,FALSE),"")</f>
        <v>3</v>
      </c>
      <c r="G64" s="45" t="str">
        <f>IFERROR(VLOOKUP(10*tblRiskRegister[[#This Row],[Safeguard Maturity Score]]+tblRiskRegister[[#This Row],[VCDB Index]],tblHITIndexWeightTable[],4,FALSE),"")</f>
        <v/>
      </c>
      <c r="H64" s="45">
        <f>VLOOKUP(tblRiskRegister[[#This Row],[Asset Class]],tblImpactIndex[],2,FALSE)</f>
        <v>0</v>
      </c>
      <c r="I64" s="45">
        <f>VLOOKUP(tblRiskRegister[[#This Row],[Asset Class]],tblImpactIndex[],3,FALSE)</f>
        <v>0</v>
      </c>
      <c r="J64" s="45">
        <f>VLOOKUP(tblRiskRegister[[#This Row],[Asset Class]],tblImpactIndex[],4,FALSE)</f>
        <v>0</v>
      </c>
      <c r="K64" s="45" t="str">
        <f>IFERROR(MAX(tblRiskRegister[[#This Row],[Impact to Mission]:[Impact to Obligations]])*tblRiskRegister[[#This Row],[Expectancy Score]],"")</f>
        <v/>
      </c>
      <c r="L64" s="45" t="str">
        <f>tblRiskRegister[[#This Row],[Risk Score]]</f>
        <v/>
      </c>
      <c r="M64" s="214"/>
      <c r="N64" s="37">
        <v>16.8</v>
      </c>
      <c r="O64" s="24" t="s">
        <v>33</v>
      </c>
      <c r="P64" s="24" t="s">
        <v>199</v>
      </c>
      <c r="Q64" s="24"/>
      <c r="R64" s="25"/>
      <c r="S64" s="46" t="str">
        <f>IFERROR(VLOOKUP(10*tblRiskRegister[[#This Row],[Risk Treatment Safeguard Maturity Score]]+tblRiskRegister[[#This Row],[VCDB Index]],tblHITIndexWeightTable[],4,FALSE),"")</f>
        <v/>
      </c>
      <c r="T64" s="46">
        <f>VLOOKUP(tblRiskRegister[[#This Row],[Asset Class]],tblImpactIndex[],2,FALSE)</f>
        <v>0</v>
      </c>
      <c r="U64" s="46">
        <f>VLOOKUP(tblRiskRegister[[#This Row],[Asset Class]],tblImpactIndex[],3,FALSE)</f>
        <v>0</v>
      </c>
      <c r="V64" s="46">
        <f>VLOOKUP(tblRiskRegister[[#This Row],[Asset Class]],tblImpactIndex[],4,FALSE)</f>
        <v>0</v>
      </c>
      <c r="W64" s="46" t="str">
        <f>IFERROR(MAX(tblRiskRegister[[#This Row],[Risk Treatment Safeguard Impact to Mission]:[Risk Treatment Safeguard Impact to Obligations]])*tblRiskRegister[[#This Row],[Risk Treatment
Safeguard Expectancy Score]],"")</f>
        <v/>
      </c>
      <c r="X64" s="46" t="str">
        <f>IF(tblRiskRegister[[#This Row],[Risk Score]]&gt;5,IF(tblRiskRegister[[#This Row],[Risk Treatment Safeguard Risk Score]]&lt;6, IF(tblRiskRegister[[#This Row],[Risk Treatment Safeguard Risk Score]]&lt;=tblRiskRegister[[#This Row],[Risk Score]],"Yes","No"),"No"),"Yes")</f>
        <v>No</v>
      </c>
      <c r="Y64" s="26"/>
      <c r="Z64" s="26"/>
      <c r="AA64" s="27"/>
    </row>
    <row r="65" spans="2:27" ht="25.5" x14ac:dyDescent="0.2">
      <c r="B65" s="22">
        <v>16.899999999999999</v>
      </c>
      <c r="C65" s="23" t="s">
        <v>34</v>
      </c>
      <c r="D65" s="176" t="s">
        <v>150</v>
      </c>
      <c r="E65" s="25"/>
      <c r="F65" s="45">
        <f>IFERROR(VLOOKUP(tblRiskRegister[[#This Row],[Asset Class]],tblVCDBIndex[],4,FALSE),"")</f>
        <v>3</v>
      </c>
      <c r="G65" s="45" t="str">
        <f>IFERROR(VLOOKUP(10*tblRiskRegister[[#This Row],[Safeguard Maturity Score]]+tblRiskRegister[[#This Row],[VCDB Index]],tblHITIndexWeightTable[],4,FALSE),"")</f>
        <v/>
      </c>
      <c r="H65" s="45">
        <f>VLOOKUP(tblRiskRegister[[#This Row],[Asset Class]],tblImpactIndex[],2,FALSE)</f>
        <v>0</v>
      </c>
      <c r="I65" s="45">
        <f>VLOOKUP(tblRiskRegister[[#This Row],[Asset Class]],tblImpactIndex[],3,FALSE)</f>
        <v>0</v>
      </c>
      <c r="J65" s="45">
        <f>VLOOKUP(tblRiskRegister[[#This Row],[Asset Class]],tblImpactIndex[],4,FALSE)</f>
        <v>0</v>
      </c>
      <c r="K65" s="45" t="str">
        <f>IFERROR(MAX(tblRiskRegister[[#This Row],[Impact to Mission]:[Impact to Obligations]])*tblRiskRegister[[#This Row],[Expectancy Score]],"")</f>
        <v/>
      </c>
      <c r="L65" s="45" t="str">
        <f>tblRiskRegister[[#This Row],[Risk Score]]</f>
        <v/>
      </c>
      <c r="M65" s="214"/>
      <c r="N65" s="37">
        <v>16.899999999999999</v>
      </c>
      <c r="O65" s="24" t="s">
        <v>34</v>
      </c>
      <c r="P65" s="24" t="s">
        <v>200</v>
      </c>
      <c r="Q65" s="24"/>
      <c r="R65" s="25"/>
      <c r="S65" s="46" t="str">
        <f>IFERROR(VLOOKUP(10*tblRiskRegister[[#This Row],[Risk Treatment Safeguard Maturity Score]]+tblRiskRegister[[#This Row],[VCDB Index]],tblHITIndexWeightTable[],4,FALSE),"")</f>
        <v/>
      </c>
      <c r="T65" s="46">
        <f>VLOOKUP(tblRiskRegister[[#This Row],[Asset Class]],tblImpactIndex[],2,FALSE)</f>
        <v>0</v>
      </c>
      <c r="U65" s="46">
        <f>VLOOKUP(tblRiskRegister[[#This Row],[Asset Class]],tblImpactIndex[],3,FALSE)</f>
        <v>0</v>
      </c>
      <c r="V65" s="46">
        <f>VLOOKUP(tblRiskRegister[[#This Row],[Asset Class]],tblImpactIndex[],4,FALSE)</f>
        <v>0</v>
      </c>
      <c r="W65" s="46" t="str">
        <f>IFERROR(MAX(tblRiskRegister[[#This Row],[Risk Treatment Safeguard Impact to Mission]:[Risk Treatment Safeguard Impact to Obligations]])*tblRiskRegister[[#This Row],[Risk Treatment
Safeguard Expectancy Score]],"")</f>
        <v/>
      </c>
      <c r="X65" s="46" t="str">
        <f>IF(tblRiskRegister[[#This Row],[Risk Score]]&gt;5,IF(tblRiskRegister[[#This Row],[Risk Treatment Safeguard Risk Score]]&lt;6, IF(tblRiskRegister[[#This Row],[Risk Treatment Safeguard Risk Score]]&lt;=tblRiskRegister[[#This Row],[Risk Score]],"Yes","No"),"No"),"Yes")</f>
        <v>No</v>
      </c>
      <c r="Y65" s="26"/>
      <c r="Z65" s="26"/>
      <c r="AA65" s="27"/>
    </row>
    <row r="66" spans="2:27" ht="38.25" x14ac:dyDescent="0.2">
      <c r="B66" s="22">
        <v>16.11</v>
      </c>
      <c r="C66" s="23" t="s">
        <v>35</v>
      </c>
      <c r="D66" s="176" t="s">
        <v>147</v>
      </c>
      <c r="E66" s="25"/>
      <c r="F66" s="45">
        <f>IFERROR(VLOOKUP(tblRiskRegister[[#This Row],[Asset Class]],tblVCDBIndex[],4,FALSE),"")</f>
        <v>1</v>
      </c>
      <c r="G66" s="45" t="str">
        <f>IFERROR(VLOOKUP(10*tblRiskRegister[[#This Row],[Safeguard Maturity Score]]+tblRiskRegister[[#This Row],[VCDB Index]],tblHITIndexWeightTable[],4,FALSE),"")</f>
        <v/>
      </c>
      <c r="H66" s="45">
        <f>VLOOKUP(tblRiskRegister[[#This Row],[Asset Class]],tblImpactIndex[],2,FALSE)</f>
        <v>0</v>
      </c>
      <c r="I66" s="45">
        <f>VLOOKUP(tblRiskRegister[[#This Row],[Asset Class]],tblImpactIndex[],3,FALSE)</f>
        <v>0</v>
      </c>
      <c r="J66" s="45">
        <f>VLOOKUP(tblRiskRegister[[#This Row],[Asset Class]],tblImpactIndex[],4,FALSE)</f>
        <v>0</v>
      </c>
      <c r="K66" s="45" t="str">
        <f>IFERROR(MAX(tblRiskRegister[[#This Row],[Impact to Mission]:[Impact to Obligations]])*tblRiskRegister[[#This Row],[Expectancy Score]],"")</f>
        <v/>
      </c>
      <c r="L66" s="45" t="str">
        <f>tblRiskRegister[[#This Row],[Risk Score]]</f>
        <v/>
      </c>
      <c r="M66" s="214"/>
      <c r="N66" s="37">
        <v>16.11</v>
      </c>
      <c r="O66" s="24" t="s">
        <v>35</v>
      </c>
      <c r="P66" s="24" t="s">
        <v>201</v>
      </c>
      <c r="Q66" s="24"/>
      <c r="R66" s="25"/>
      <c r="S66" s="46" t="str">
        <f>IFERROR(VLOOKUP(10*tblRiskRegister[[#This Row],[Risk Treatment Safeguard Maturity Score]]+tblRiskRegister[[#This Row],[VCDB Index]],tblHITIndexWeightTable[],4,FALSE),"")</f>
        <v/>
      </c>
      <c r="T66" s="46">
        <f>VLOOKUP(tblRiskRegister[[#This Row],[Asset Class]],tblImpactIndex[],2,FALSE)</f>
        <v>0</v>
      </c>
      <c r="U66" s="46">
        <f>VLOOKUP(tblRiskRegister[[#This Row],[Asset Class]],tblImpactIndex[],3,FALSE)</f>
        <v>0</v>
      </c>
      <c r="V66" s="46">
        <f>VLOOKUP(tblRiskRegister[[#This Row],[Asset Class]],tblImpactIndex[],4,FALSE)</f>
        <v>0</v>
      </c>
      <c r="W66" s="46" t="str">
        <f>IFERROR(MAX(tblRiskRegister[[#This Row],[Risk Treatment Safeguard Impact to Mission]:[Risk Treatment Safeguard Impact to Obligations]])*tblRiskRegister[[#This Row],[Risk Treatment
Safeguard Expectancy Score]],"")</f>
        <v/>
      </c>
      <c r="X66" s="46" t="str">
        <f>IF(tblRiskRegister[[#This Row],[Risk Score]]&gt;5,IF(tblRiskRegister[[#This Row],[Risk Treatment Safeguard Risk Score]]&lt;6, IF(tblRiskRegister[[#This Row],[Risk Treatment Safeguard Risk Score]]&lt;=tblRiskRegister[[#This Row],[Risk Score]],"Yes","No"),"No"),"Yes")</f>
        <v>No</v>
      </c>
      <c r="Y66" s="26"/>
      <c r="Z66" s="26"/>
      <c r="AA66" s="27"/>
    </row>
    <row r="67" spans="2:27" ht="76.5" x14ac:dyDescent="0.2">
      <c r="B67" s="22">
        <v>17.3</v>
      </c>
      <c r="C67" s="23" t="s">
        <v>36</v>
      </c>
      <c r="D67" s="176" t="s">
        <v>150</v>
      </c>
      <c r="E67" s="25"/>
      <c r="F67" s="45">
        <f>IFERROR(VLOOKUP(tblRiskRegister[[#This Row],[Asset Class]],tblVCDBIndex[],4,FALSE),"")</f>
        <v>3</v>
      </c>
      <c r="G67" s="45" t="str">
        <f>IFERROR(VLOOKUP(10*tblRiskRegister[[#This Row],[Safeguard Maturity Score]]+tblRiskRegister[[#This Row],[VCDB Index]],tblHITIndexWeightTable[],4,FALSE),"")</f>
        <v/>
      </c>
      <c r="H67" s="45">
        <f>VLOOKUP(tblRiskRegister[[#This Row],[Asset Class]],tblImpactIndex[],2,FALSE)</f>
        <v>0</v>
      </c>
      <c r="I67" s="45">
        <f>VLOOKUP(tblRiskRegister[[#This Row],[Asset Class]],tblImpactIndex[],3,FALSE)</f>
        <v>0</v>
      </c>
      <c r="J67" s="45">
        <f>VLOOKUP(tblRiskRegister[[#This Row],[Asset Class]],tblImpactIndex[],4,FALSE)</f>
        <v>0</v>
      </c>
      <c r="K67" s="45" t="str">
        <f>IFERROR(MAX(tblRiskRegister[[#This Row],[Impact to Mission]:[Impact to Obligations]])*tblRiskRegister[[#This Row],[Expectancy Score]],"")</f>
        <v/>
      </c>
      <c r="L67" s="45" t="str">
        <f>tblRiskRegister[[#This Row],[Risk Score]]</f>
        <v/>
      </c>
      <c r="M67" s="214"/>
      <c r="N67" s="37">
        <v>17.3</v>
      </c>
      <c r="O67" s="24" t="s">
        <v>36</v>
      </c>
      <c r="P67" s="24" t="s">
        <v>202</v>
      </c>
      <c r="Q67" s="24"/>
      <c r="R67" s="25"/>
      <c r="S67" s="46" t="str">
        <f>IFERROR(VLOOKUP(10*tblRiskRegister[[#This Row],[Risk Treatment Safeguard Maturity Score]]+tblRiskRegister[[#This Row],[VCDB Index]],tblHITIndexWeightTable[],4,FALSE),"")</f>
        <v/>
      </c>
      <c r="T67" s="46">
        <f>VLOOKUP(tblRiskRegister[[#This Row],[Asset Class]],tblImpactIndex[],2,FALSE)</f>
        <v>0</v>
      </c>
      <c r="U67" s="46">
        <f>VLOOKUP(tblRiskRegister[[#This Row],[Asset Class]],tblImpactIndex[],3,FALSE)</f>
        <v>0</v>
      </c>
      <c r="V67" s="46">
        <f>VLOOKUP(tblRiskRegister[[#This Row],[Asset Class]],tblImpactIndex[],4,FALSE)</f>
        <v>0</v>
      </c>
      <c r="W67" s="46" t="str">
        <f>IFERROR(MAX(tblRiskRegister[[#This Row],[Risk Treatment Safeguard Impact to Mission]:[Risk Treatment Safeguard Impact to Obligations]])*tblRiskRegister[[#This Row],[Risk Treatment
Safeguard Expectancy Score]],"")</f>
        <v/>
      </c>
      <c r="X67" s="46" t="str">
        <f>IF(tblRiskRegister[[#This Row],[Risk Score]]&gt;5,IF(tblRiskRegister[[#This Row],[Risk Treatment Safeguard Risk Score]]&lt;6, IF(tblRiskRegister[[#This Row],[Risk Treatment Safeguard Risk Score]]&lt;=tblRiskRegister[[#This Row],[Risk Score]],"Yes","No"),"No"),"Yes")</f>
        <v>No</v>
      </c>
      <c r="Y67" s="26"/>
      <c r="Z67" s="26"/>
      <c r="AA67" s="27"/>
    </row>
    <row r="68" spans="2:27" ht="25.5" x14ac:dyDescent="0.2">
      <c r="B68" s="22">
        <v>17.5</v>
      </c>
      <c r="C68" s="23" t="s">
        <v>37</v>
      </c>
      <c r="D68" s="176" t="s">
        <v>150</v>
      </c>
      <c r="E68" s="25"/>
      <c r="F68" s="45">
        <f>IFERROR(VLOOKUP(tblRiskRegister[[#This Row],[Asset Class]],tblVCDBIndex[],4,FALSE),"")</f>
        <v>3</v>
      </c>
      <c r="G68" s="45" t="str">
        <f>IFERROR(VLOOKUP(10*tblRiskRegister[[#This Row],[Safeguard Maturity Score]]+tblRiskRegister[[#This Row],[VCDB Index]],tblHITIndexWeightTable[],4,FALSE),"")</f>
        <v/>
      </c>
      <c r="H68" s="45">
        <f>VLOOKUP(tblRiskRegister[[#This Row],[Asset Class]],tblImpactIndex[],2,FALSE)</f>
        <v>0</v>
      </c>
      <c r="I68" s="45">
        <f>VLOOKUP(tblRiskRegister[[#This Row],[Asset Class]],tblImpactIndex[],3,FALSE)</f>
        <v>0</v>
      </c>
      <c r="J68" s="45">
        <f>VLOOKUP(tblRiskRegister[[#This Row],[Asset Class]],tblImpactIndex[],4,FALSE)</f>
        <v>0</v>
      </c>
      <c r="K68" s="45" t="str">
        <f>IFERROR(MAX(tblRiskRegister[[#This Row],[Impact to Mission]:[Impact to Obligations]])*tblRiskRegister[[#This Row],[Expectancy Score]],"")</f>
        <v/>
      </c>
      <c r="L68" s="45" t="str">
        <f>tblRiskRegister[[#This Row],[Risk Score]]</f>
        <v/>
      </c>
      <c r="M68" s="214"/>
      <c r="N68" s="37">
        <v>17.5</v>
      </c>
      <c r="O68" s="24" t="s">
        <v>37</v>
      </c>
      <c r="P68" s="24" t="s">
        <v>203</v>
      </c>
      <c r="Q68" s="24"/>
      <c r="R68" s="25"/>
      <c r="S68" s="46" t="str">
        <f>IFERROR(VLOOKUP(10*tblRiskRegister[[#This Row],[Risk Treatment Safeguard Maturity Score]]+tblRiskRegister[[#This Row],[VCDB Index]],tblHITIndexWeightTable[],4,FALSE),"")</f>
        <v/>
      </c>
      <c r="T68" s="46">
        <f>VLOOKUP(tblRiskRegister[[#This Row],[Asset Class]],tblImpactIndex[],2,FALSE)</f>
        <v>0</v>
      </c>
      <c r="U68" s="46">
        <f>VLOOKUP(tblRiskRegister[[#This Row],[Asset Class]],tblImpactIndex[],3,FALSE)</f>
        <v>0</v>
      </c>
      <c r="V68" s="46">
        <f>VLOOKUP(tblRiskRegister[[#This Row],[Asset Class]],tblImpactIndex[],4,FALSE)</f>
        <v>0</v>
      </c>
      <c r="W68" s="46" t="str">
        <f>IFERROR(MAX(tblRiskRegister[[#This Row],[Risk Treatment Safeguard Impact to Mission]:[Risk Treatment Safeguard Impact to Obligations]])*tblRiskRegister[[#This Row],[Risk Treatment
Safeguard Expectancy Score]],"")</f>
        <v/>
      </c>
      <c r="X68" s="46" t="str">
        <f>IF(tblRiskRegister[[#This Row],[Risk Score]]&gt;5,IF(tblRiskRegister[[#This Row],[Risk Treatment Safeguard Risk Score]]&lt;6, IF(tblRiskRegister[[#This Row],[Risk Treatment Safeguard Risk Score]]&lt;=tblRiskRegister[[#This Row],[Risk Score]],"Yes","No"),"No"),"Yes")</f>
        <v>No</v>
      </c>
      <c r="Y68" s="26"/>
      <c r="Z68" s="26"/>
      <c r="AA68" s="27"/>
    </row>
    <row r="69" spans="2:27" ht="38.25" x14ac:dyDescent="0.2">
      <c r="B69" s="22">
        <v>17.600000000000001</v>
      </c>
      <c r="C69" s="23" t="s">
        <v>38</v>
      </c>
      <c r="D69" s="176" t="s">
        <v>150</v>
      </c>
      <c r="E69" s="25"/>
      <c r="F69" s="45">
        <f>IFERROR(VLOOKUP(tblRiskRegister[[#This Row],[Asset Class]],tblVCDBIndex[],4,FALSE),"")</f>
        <v>3</v>
      </c>
      <c r="G69" s="45" t="str">
        <f>IFERROR(VLOOKUP(10*tblRiskRegister[[#This Row],[Safeguard Maturity Score]]+tblRiskRegister[[#This Row],[VCDB Index]],tblHITIndexWeightTable[],4,FALSE),"")</f>
        <v/>
      </c>
      <c r="H69" s="45">
        <f>VLOOKUP(tblRiskRegister[[#This Row],[Asset Class]],tblImpactIndex[],2,FALSE)</f>
        <v>0</v>
      </c>
      <c r="I69" s="45">
        <f>VLOOKUP(tblRiskRegister[[#This Row],[Asset Class]],tblImpactIndex[],3,FALSE)</f>
        <v>0</v>
      </c>
      <c r="J69" s="45">
        <f>VLOOKUP(tblRiskRegister[[#This Row],[Asset Class]],tblImpactIndex[],4,FALSE)</f>
        <v>0</v>
      </c>
      <c r="K69" s="45" t="str">
        <f>IFERROR(MAX(tblRiskRegister[[#This Row],[Impact to Mission]:[Impact to Obligations]])*tblRiskRegister[[#This Row],[Expectancy Score]],"")</f>
        <v/>
      </c>
      <c r="L69" s="45" t="str">
        <f>tblRiskRegister[[#This Row],[Risk Score]]</f>
        <v/>
      </c>
      <c r="M69" s="214"/>
      <c r="N69" s="37">
        <v>17.600000000000001</v>
      </c>
      <c r="O69" s="24" t="s">
        <v>38</v>
      </c>
      <c r="P69" s="24" t="s">
        <v>423</v>
      </c>
      <c r="Q69" s="24"/>
      <c r="R69" s="25"/>
      <c r="S69" s="46" t="str">
        <f>IFERROR(VLOOKUP(10*tblRiskRegister[[#This Row],[Risk Treatment Safeguard Maturity Score]]+tblRiskRegister[[#This Row],[VCDB Index]],tblHITIndexWeightTable[],4,FALSE),"")</f>
        <v/>
      </c>
      <c r="T69" s="46">
        <f>VLOOKUP(tblRiskRegister[[#This Row],[Asset Class]],tblImpactIndex[],2,FALSE)</f>
        <v>0</v>
      </c>
      <c r="U69" s="46">
        <f>VLOOKUP(tblRiskRegister[[#This Row],[Asset Class]],tblImpactIndex[],3,FALSE)</f>
        <v>0</v>
      </c>
      <c r="V69" s="46">
        <f>VLOOKUP(tblRiskRegister[[#This Row],[Asset Class]],tblImpactIndex[],4,FALSE)</f>
        <v>0</v>
      </c>
      <c r="W69" s="46" t="str">
        <f>IFERROR(MAX(tblRiskRegister[[#This Row],[Risk Treatment Safeguard Impact to Mission]:[Risk Treatment Safeguard Impact to Obligations]])*tblRiskRegister[[#This Row],[Risk Treatment
Safeguard Expectancy Score]],"")</f>
        <v/>
      </c>
      <c r="X69" s="46" t="str">
        <f>IF(tblRiskRegister[[#This Row],[Risk Score]]&gt;5,IF(tblRiskRegister[[#This Row],[Risk Treatment Safeguard Risk Score]]&lt;6, IF(tblRiskRegister[[#This Row],[Risk Treatment Safeguard Risk Score]]&lt;=tblRiskRegister[[#This Row],[Risk Score]],"Yes","No"),"No"),"Yes")</f>
        <v>No</v>
      </c>
      <c r="Y69" s="26"/>
      <c r="Z69" s="26"/>
      <c r="AA69" s="27"/>
    </row>
    <row r="70" spans="2:27" ht="38.25" x14ac:dyDescent="0.2">
      <c r="B70" s="22">
        <v>17.7</v>
      </c>
      <c r="C70" s="23" t="s">
        <v>39</v>
      </c>
      <c r="D70" s="176" t="s">
        <v>150</v>
      </c>
      <c r="E70" s="25"/>
      <c r="F70" s="45">
        <f>IFERROR(VLOOKUP(tblRiskRegister[[#This Row],[Asset Class]],tblVCDBIndex[],4,FALSE),"")</f>
        <v>3</v>
      </c>
      <c r="G70" s="45" t="str">
        <f>IFERROR(VLOOKUP(10*tblRiskRegister[[#This Row],[Safeguard Maturity Score]]+tblRiskRegister[[#This Row],[VCDB Index]],tblHITIndexWeightTable[],4,FALSE),"")</f>
        <v/>
      </c>
      <c r="H70" s="45">
        <f>VLOOKUP(tblRiskRegister[[#This Row],[Asset Class]],tblImpactIndex[],2,FALSE)</f>
        <v>0</v>
      </c>
      <c r="I70" s="45">
        <f>VLOOKUP(tblRiskRegister[[#This Row],[Asset Class]],tblImpactIndex[],3,FALSE)</f>
        <v>0</v>
      </c>
      <c r="J70" s="45">
        <f>VLOOKUP(tblRiskRegister[[#This Row],[Asset Class]],tblImpactIndex[],4,FALSE)</f>
        <v>0</v>
      </c>
      <c r="K70" s="45" t="str">
        <f>IFERROR(MAX(tblRiskRegister[[#This Row],[Impact to Mission]:[Impact to Obligations]])*tblRiskRegister[[#This Row],[Expectancy Score]],"")</f>
        <v/>
      </c>
      <c r="L70" s="45" t="str">
        <f>tblRiskRegister[[#This Row],[Risk Score]]</f>
        <v/>
      </c>
      <c r="M70" s="214"/>
      <c r="N70" s="37">
        <v>17.7</v>
      </c>
      <c r="O70" s="24" t="s">
        <v>39</v>
      </c>
      <c r="P70" s="24" t="s">
        <v>424</v>
      </c>
      <c r="Q70" s="24"/>
      <c r="R70" s="25"/>
      <c r="S70" s="46" t="str">
        <f>IFERROR(VLOOKUP(10*tblRiskRegister[[#This Row],[Risk Treatment Safeguard Maturity Score]]+tblRiskRegister[[#This Row],[VCDB Index]],tblHITIndexWeightTable[],4,FALSE),"")</f>
        <v/>
      </c>
      <c r="T70" s="46">
        <f>VLOOKUP(tblRiskRegister[[#This Row],[Asset Class]],tblImpactIndex[],2,FALSE)</f>
        <v>0</v>
      </c>
      <c r="U70" s="46">
        <f>VLOOKUP(tblRiskRegister[[#This Row],[Asset Class]],tblImpactIndex[],3,FALSE)</f>
        <v>0</v>
      </c>
      <c r="V70" s="46">
        <f>VLOOKUP(tblRiskRegister[[#This Row],[Asset Class]],tblImpactIndex[],4,FALSE)</f>
        <v>0</v>
      </c>
      <c r="W70" s="46" t="str">
        <f>IFERROR(MAX(tblRiskRegister[[#This Row],[Risk Treatment Safeguard Impact to Mission]:[Risk Treatment Safeguard Impact to Obligations]])*tblRiskRegister[[#This Row],[Risk Treatment
Safeguard Expectancy Score]],"")</f>
        <v/>
      </c>
      <c r="X70" s="46" t="str">
        <f>IF(tblRiskRegister[[#This Row],[Risk Score]]&gt;5,IF(tblRiskRegister[[#This Row],[Risk Treatment Safeguard Risk Score]]&lt;6, IF(tblRiskRegister[[#This Row],[Risk Treatment Safeguard Risk Score]]&lt;=tblRiskRegister[[#This Row],[Risk Score]],"Yes","No"),"No"),"Yes")</f>
        <v>No</v>
      </c>
      <c r="Y70" s="26"/>
      <c r="Z70" s="26"/>
      <c r="AA70" s="27"/>
    </row>
    <row r="71" spans="2:27" ht="51" x14ac:dyDescent="0.2">
      <c r="B71" s="22">
        <v>17.8</v>
      </c>
      <c r="C71" s="23" t="s">
        <v>40</v>
      </c>
      <c r="D71" s="176" t="s">
        <v>150</v>
      </c>
      <c r="E71" s="25"/>
      <c r="F71" s="45">
        <f>IFERROR(VLOOKUP(tblRiskRegister[[#This Row],[Asset Class]],tblVCDBIndex[],4,FALSE),"")</f>
        <v>3</v>
      </c>
      <c r="G71" s="45" t="str">
        <f>IFERROR(VLOOKUP(10*tblRiskRegister[[#This Row],[Safeguard Maturity Score]]+tblRiskRegister[[#This Row],[VCDB Index]],tblHITIndexWeightTable[],4,FALSE),"")</f>
        <v/>
      </c>
      <c r="H71" s="45">
        <f>VLOOKUP(tblRiskRegister[[#This Row],[Asset Class]],tblImpactIndex[],2,FALSE)</f>
        <v>0</v>
      </c>
      <c r="I71" s="45">
        <f>VLOOKUP(tblRiskRegister[[#This Row],[Asset Class]],tblImpactIndex[],3,FALSE)</f>
        <v>0</v>
      </c>
      <c r="J71" s="45">
        <f>VLOOKUP(tblRiskRegister[[#This Row],[Asset Class]],tblImpactIndex[],4,FALSE)</f>
        <v>0</v>
      </c>
      <c r="K71" s="45" t="str">
        <f>IFERROR(MAX(tblRiskRegister[[#This Row],[Impact to Mission]:[Impact to Obligations]])*tblRiskRegister[[#This Row],[Expectancy Score]],"")</f>
        <v/>
      </c>
      <c r="L71" s="45" t="str">
        <f>tblRiskRegister[[#This Row],[Risk Score]]</f>
        <v/>
      </c>
      <c r="M71" s="214"/>
      <c r="N71" s="37">
        <v>17.8</v>
      </c>
      <c r="O71" s="24" t="s">
        <v>40</v>
      </c>
      <c r="P71" s="24" t="s">
        <v>204</v>
      </c>
      <c r="Q71" s="24"/>
      <c r="R71" s="25"/>
      <c r="S71" s="46" t="str">
        <f>IFERROR(VLOOKUP(10*tblRiskRegister[[#This Row],[Risk Treatment Safeguard Maturity Score]]+tblRiskRegister[[#This Row],[VCDB Index]],tblHITIndexWeightTable[],4,FALSE),"")</f>
        <v/>
      </c>
      <c r="T71" s="46">
        <f>VLOOKUP(tblRiskRegister[[#This Row],[Asset Class]],tblImpactIndex[],2,FALSE)</f>
        <v>0</v>
      </c>
      <c r="U71" s="46">
        <f>VLOOKUP(tblRiskRegister[[#This Row],[Asset Class]],tblImpactIndex[],3,FALSE)</f>
        <v>0</v>
      </c>
      <c r="V71" s="46">
        <f>VLOOKUP(tblRiskRegister[[#This Row],[Asset Class]],tblImpactIndex[],4,FALSE)</f>
        <v>0</v>
      </c>
      <c r="W71" s="46" t="str">
        <f>IFERROR(MAX(tblRiskRegister[[#This Row],[Risk Treatment Safeguard Impact to Mission]:[Risk Treatment Safeguard Impact to Obligations]])*tblRiskRegister[[#This Row],[Risk Treatment
Safeguard Expectancy Score]],"")</f>
        <v/>
      </c>
      <c r="X71" s="46" t="str">
        <f>IF(tblRiskRegister[[#This Row],[Risk Score]]&gt;5,IF(tblRiskRegister[[#This Row],[Risk Treatment Safeguard Risk Score]]&lt;6, IF(tblRiskRegister[[#This Row],[Risk Treatment Safeguard Risk Score]]&lt;=tblRiskRegister[[#This Row],[Risk Score]],"Yes","No"),"No"),"Yes")</f>
        <v>No</v>
      </c>
      <c r="Y71" s="26"/>
      <c r="Z71" s="26"/>
      <c r="AA71" s="27"/>
    </row>
    <row r="72" spans="2:27" ht="38.25" x14ac:dyDescent="0.2">
      <c r="B72" s="22">
        <v>17.899999999999999</v>
      </c>
      <c r="C72" s="23" t="s">
        <v>41</v>
      </c>
      <c r="D72" s="176" t="s">
        <v>150</v>
      </c>
      <c r="E72" s="25"/>
      <c r="F72" s="45">
        <f>IFERROR(VLOOKUP(tblRiskRegister[[#This Row],[Asset Class]],tblVCDBIndex[],4,FALSE),"")</f>
        <v>3</v>
      </c>
      <c r="G72" s="45" t="str">
        <f>IFERROR(VLOOKUP(10*tblRiskRegister[[#This Row],[Safeguard Maturity Score]]+tblRiskRegister[[#This Row],[VCDB Index]],tblHITIndexWeightTable[],4,FALSE),"")</f>
        <v/>
      </c>
      <c r="H72" s="45">
        <f>VLOOKUP(tblRiskRegister[[#This Row],[Asset Class]],tblImpactIndex[],2,FALSE)</f>
        <v>0</v>
      </c>
      <c r="I72" s="45">
        <f>VLOOKUP(tblRiskRegister[[#This Row],[Asset Class]],tblImpactIndex[],3,FALSE)</f>
        <v>0</v>
      </c>
      <c r="J72" s="45">
        <f>VLOOKUP(tblRiskRegister[[#This Row],[Asset Class]],tblImpactIndex[],4,FALSE)</f>
        <v>0</v>
      </c>
      <c r="K72" s="45" t="str">
        <f>IFERROR(MAX(tblRiskRegister[[#This Row],[Impact to Mission]:[Impact to Obligations]])*tblRiskRegister[[#This Row],[Expectancy Score]],"")</f>
        <v/>
      </c>
      <c r="L72" s="45" t="str">
        <f>tblRiskRegister[[#This Row],[Risk Score]]</f>
        <v/>
      </c>
      <c r="M72" s="214"/>
      <c r="N72" s="37">
        <v>17.899999999999999</v>
      </c>
      <c r="O72" s="24" t="s">
        <v>41</v>
      </c>
      <c r="P72" s="24" t="s">
        <v>205</v>
      </c>
      <c r="Q72" s="24"/>
      <c r="R72" s="25"/>
      <c r="S72" s="46" t="str">
        <f>IFERROR(VLOOKUP(10*tblRiskRegister[[#This Row],[Risk Treatment Safeguard Maturity Score]]+tblRiskRegister[[#This Row],[VCDB Index]],tblHITIndexWeightTable[],4,FALSE),"")</f>
        <v/>
      </c>
      <c r="T72" s="46">
        <f>VLOOKUP(tblRiskRegister[[#This Row],[Asset Class]],tblImpactIndex[],2,FALSE)</f>
        <v>0</v>
      </c>
      <c r="U72" s="46">
        <f>VLOOKUP(tblRiskRegister[[#This Row],[Asset Class]],tblImpactIndex[],3,FALSE)</f>
        <v>0</v>
      </c>
      <c r="V72" s="46">
        <f>VLOOKUP(tblRiskRegister[[#This Row],[Asset Class]],tblImpactIndex[],4,FALSE)</f>
        <v>0</v>
      </c>
      <c r="W72" s="46" t="str">
        <f>IFERROR(MAX(tblRiskRegister[[#This Row],[Risk Treatment Safeguard Impact to Mission]:[Risk Treatment Safeguard Impact to Obligations]])*tblRiskRegister[[#This Row],[Risk Treatment
Safeguard Expectancy Score]],"")</f>
        <v/>
      </c>
      <c r="X72" s="46" t="str">
        <f>IF(tblRiskRegister[[#This Row],[Risk Score]]&gt;5,IF(tblRiskRegister[[#This Row],[Risk Treatment Safeguard Risk Score]]&lt;6, IF(tblRiskRegister[[#This Row],[Risk Treatment Safeguard Risk Score]]&lt;=tblRiskRegister[[#This Row],[Risk Score]],"Yes","No"),"No"),"Yes")</f>
        <v>No</v>
      </c>
      <c r="Y72" s="26"/>
      <c r="Z72" s="26"/>
      <c r="AA72" s="27"/>
    </row>
    <row r="73" spans="2:27" ht="38.25" x14ac:dyDescent="0.2">
      <c r="B73" s="22">
        <v>19.100000000000001</v>
      </c>
      <c r="C73" s="23" t="s">
        <v>42</v>
      </c>
      <c r="D73" s="176" t="s">
        <v>151</v>
      </c>
      <c r="E73" s="25"/>
      <c r="F73" s="45">
        <f>IFERROR(VLOOKUP(tblRiskRegister[[#This Row],[Asset Class]],tblVCDBIndex[],4,FALSE),"")</f>
        <v>3</v>
      </c>
      <c r="G73" s="45" t="str">
        <f>IFERROR(VLOOKUP(10*tblRiskRegister[[#This Row],[Safeguard Maturity Score]]+tblRiskRegister[[#This Row],[VCDB Index]],tblHITIndexWeightTable[],4,FALSE),"")</f>
        <v/>
      </c>
      <c r="H73" s="45">
        <f>VLOOKUP(tblRiskRegister[[#This Row],[Asset Class]],tblImpactIndex[],2,FALSE)</f>
        <v>0</v>
      </c>
      <c r="I73" s="45">
        <f>VLOOKUP(tblRiskRegister[[#This Row],[Asset Class]],tblImpactIndex[],3,FALSE)</f>
        <v>0</v>
      </c>
      <c r="J73" s="45">
        <f>VLOOKUP(tblRiskRegister[[#This Row],[Asset Class]],tblImpactIndex[],4,FALSE)</f>
        <v>0</v>
      </c>
      <c r="K73" s="45" t="str">
        <f>IFERROR(MAX(tblRiskRegister[[#This Row],[Impact to Mission]:[Impact to Obligations]])*tblRiskRegister[[#This Row],[Expectancy Score]],"")</f>
        <v/>
      </c>
      <c r="L73" s="45" t="str">
        <f>tblRiskRegister[[#This Row],[Risk Score]]</f>
        <v/>
      </c>
      <c r="M73" s="214"/>
      <c r="N73" s="37">
        <v>19.100000000000001</v>
      </c>
      <c r="O73" s="24" t="s">
        <v>42</v>
      </c>
      <c r="P73" s="24" t="s">
        <v>388</v>
      </c>
      <c r="Q73" s="24"/>
      <c r="R73" s="25"/>
      <c r="S73" s="46" t="str">
        <f>IFERROR(VLOOKUP(10*tblRiskRegister[[#This Row],[Risk Treatment Safeguard Maturity Score]]+tblRiskRegister[[#This Row],[VCDB Index]],tblHITIndexWeightTable[],4,FALSE),"")</f>
        <v/>
      </c>
      <c r="T73" s="46">
        <f>VLOOKUP(tblRiskRegister[[#This Row],[Asset Class]],tblImpactIndex[],2,FALSE)</f>
        <v>0</v>
      </c>
      <c r="U73" s="46">
        <f>VLOOKUP(tblRiskRegister[[#This Row],[Asset Class]],tblImpactIndex[],3,FALSE)</f>
        <v>0</v>
      </c>
      <c r="V73" s="46">
        <f>VLOOKUP(tblRiskRegister[[#This Row],[Asset Class]],tblImpactIndex[],4,FALSE)</f>
        <v>0</v>
      </c>
      <c r="W73" s="46" t="str">
        <f>IFERROR(MAX(tblRiskRegister[[#This Row],[Risk Treatment Safeguard Impact to Mission]:[Risk Treatment Safeguard Impact to Obligations]])*tblRiskRegister[[#This Row],[Risk Treatment
Safeguard Expectancy Score]],"")</f>
        <v/>
      </c>
      <c r="X73" s="46" t="str">
        <f>IF(tblRiskRegister[[#This Row],[Risk Score]]&gt;5,IF(tblRiskRegister[[#This Row],[Risk Treatment Safeguard Risk Score]]&lt;6, IF(tblRiskRegister[[#This Row],[Risk Treatment Safeguard Risk Score]]&lt;=tblRiskRegister[[#This Row],[Risk Score]],"Yes","No"),"No"),"Yes")</f>
        <v>No</v>
      </c>
      <c r="Y73" s="26"/>
      <c r="Z73" s="26"/>
      <c r="AA73" s="27"/>
    </row>
    <row r="74" spans="2:27" ht="51" x14ac:dyDescent="0.2">
      <c r="B74" s="22">
        <v>19.3</v>
      </c>
      <c r="C74" s="23" t="s">
        <v>43</v>
      </c>
      <c r="D74" s="176" t="s">
        <v>151</v>
      </c>
      <c r="E74" s="25"/>
      <c r="F74" s="45">
        <f>IFERROR(VLOOKUP(tblRiskRegister[[#This Row],[Asset Class]],tblVCDBIndex[],4,FALSE),"")</f>
        <v>3</v>
      </c>
      <c r="G74" s="45" t="str">
        <f>IFERROR(VLOOKUP(10*tblRiskRegister[[#This Row],[Safeguard Maturity Score]]+tblRiskRegister[[#This Row],[VCDB Index]],tblHITIndexWeightTable[],4,FALSE),"")</f>
        <v/>
      </c>
      <c r="H74" s="45">
        <f>VLOOKUP(tblRiskRegister[[#This Row],[Asset Class]],tblImpactIndex[],2,FALSE)</f>
        <v>0</v>
      </c>
      <c r="I74" s="45">
        <f>VLOOKUP(tblRiskRegister[[#This Row],[Asset Class]],tblImpactIndex[],3,FALSE)</f>
        <v>0</v>
      </c>
      <c r="J74" s="45">
        <f>VLOOKUP(tblRiskRegister[[#This Row],[Asset Class]],tblImpactIndex[],4,FALSE)</f>
        <v>0</v>
      </c>
      <c r="K74" s="45" t="str">
        <f>IFERROR(MAX(tblRiskRegister[[#This Row],[Impact to Mission]:[Impact to Obligations]])*tblRiskRegister[[#This Row],[Expectancy Score]],"")</f>
        <v/>
      </c>
      <c r="L74" s="45" t="str">
        <f>tblRiskRegister[[#This Row],[Risk Score]]</f>
        <v/>
      </c>
      <c r="M74" s="214"/>
      <c r="N74" s="37">
        <v>19.3</v>
      </c>
      <c r="O74" s="24" t="s">
        <v>43</v>
      </c>
      <c r="P74" s="24" t="s">
        <v>206</v>
      </c>
      <c r="Q74" s="24"/>
      <c r="R74" s="25"/>
      <c r="S74" s="46" t="str">
        <f>IFERROR(VLOOKUP(10*tblRiskRegister[[#This Row],[Risk Treatment Safeguard Maturity Score]]+tblRiskRegister[[#This Row],[VCDB Index]],tblHITIndexWeightTable[],4,FALSE),"")</f>
        <v/>
      </c>
      <c r="T74" s="46">
        <f>VLOOKUP(tblRiskRegister[[#This Row],[Asset Class]],tblImpactIndex[],2,FALSE)</f>
        <v>0</v>
      </c>
      <c r="U74" s="46">
        <f>VLOOKUP(tblRiskRegister[[#This Row],[Asset Class]],tblImpactIndex[],3,FALSE)</f>
        <v>0</v>
      </c>
      <c r="V74" s="46">
        <f>VLOOKUP(tblRiskRegister[[#This Row],[Asset Class]],tblImpactIndex[],4,FALSE)</f>
        <v>0</v>
      </c>
      <c r="W74" s="46" t="str">
        <f>IFERROR(MAX(tblRiskRegister[[#This Row],[Risk Treatment Safeguard Impact to Mission]:[Risk Treatment Safeguard Impact to Obligations]])*tblRiskRegister[[#This Row],[Risk Treatment
Safeguard Expectancy Score]],"")</f>
        <v/>
      </c>
      <c r="X74" s="46" t="str">
        <f>IF(tblRiskRegister[[#This Row],[Risk Score]]&gt;5,IF(tblRiskRegister[[#This Row],[Risk Treatment Safeguard Risk Score]]&lt;6, IF(tblRiskRegister[[#This Row],[Risk Treatment Safeguard Risk Score]]&lt;=tblRiskRegister[[#This Row],[Risk Score]],"Yes","No"),"No"),"Yes")</f>
        <v>No</v>
      </c>
      <c r="Y74" s="26"/>
      <c r="Z74" s="26"/>
      <c r="AA74" s="27"/>
    </row>
    <row r="75" spans="2:27" ht="51" x14ac:dyDescent="0.2">
      <c r="B75" s="22">
        <v>19.5</v>
      </c>
      <c r="C75" s="23" t="s">
        <v>44</v>
      </c>
      <c r="D75" s="176" t="s">
        <v>151</v>
      </c>
      <c r="E75" s="25"/>
      <c r="F75" s="45">
        <f>IFERROR(VLOOKUP(tblRiskRegister[[#This Row],[Asset Class]],tblVCDBIndex[],4,FALSE),"")</f>
        <v>3</v>
      </c>
      <c r="G75" s="45" t="str">
        <f>IFERROR(VLOOKUP(10*tblRiskRegister[[#This Row],[Safeguard Maturity Score]]+tblRiskRegister[[#This Row],[VCDB Index]],tblHITIndexWeightTable[],4,FALSE),"")</f>
        <v/>
      </c>
      <c r="H75" s="45">
        <f>VLOOKUP(tblRiskRegister[[#This Row],[Asset Class]],tblImpactIndex[],2,FALSE)</f>
        <v>0</v>
      </c>
      <c r="I75" s="45">
        <f>VLOOKUP(tblRiskRegister[[#This Row],[Asset Class]],tblImpactIndex[],3,FALSE)</f>
        <v>0</v>
      </c>
      <c r="J75" s="45">
        <f>VLOOKUP(tblRiskRegister[[#This Row],[Asset Class]],tblImpactIndex[],4,FALSE)</f>
        <v>0</v>
      </c>
      <c r="K75" s="45" t="str">
        <f>IFERROR(MAX(tblRiskRegister[[#This Row],[Impact to Mission]:[Impact to Obligations]])*tblRiskRegister[[#This Row],[Expectancy Score]],"")</f>
        <v/>
      </c>
      <c r="L75" s="45" t="str">
        <f>tblRiskRegister[[#This Row],[Risk Score]]</f>
        <v/>
      </c>
      <c r="M75" s="214"/>
      <c r="N75" s="37">
        <v>19.5</v>
      </c>
      <c r="O75" s="24" t="s">
        <v>44</v>
      </c>
      <c r="P75" s="24" t="s">
        <v>207</v>
      </c>
      <c r="Q75" s="24"/>
      <c r="R75" s="25"/>
      <c r="S75" s="46" t="str">
        <f>IFERROR(VLOOKUP(10*tblRiskRegister[[#This Row],[Risk Treatment Safeguard Maturity Score]]+tblRiskRegister[[#This Row],[VCDB Index]],tblHITIndexWeightTable[],4,FALSE),"")</f>
        <v/>
      </c>
      <c r="T75" s="46">
        <f>VLOOKUP(tblRiskRegister[[#This Row],[Asset Class]],tblImpactIndex[],2,FALSE)</f>
        <v>0</v>
      </c>
      <c r="U75" s="46">
        <f>VLOOKUP(tblRiskRegister[[#This Row],[Asset Class]],tblImpactIndex[],3,FALSE)</f>
        <v>0</v>
      </c>
      <c r="V75" s="46">
        <f>VLOOKUP(tblRiskRegister[[#This Row],[Asset Class]],tblImpactIndex[],4,FALSE)</f>
        <v>0</v>
      </c>
      <c r="W75" s="46" t="str">
        <f>IFERROR(MAX(tblRiskRegister[[#This Row],[Risk Treatment Safeguard Impact to Mission]:[Risk Treatment Safeguard Impact to Obligations]])*tblRiskRegister[[#This Row],[Risk Treatment
Safeguard Expectancy Score]],"")</f>
        <v/>
      </c>
      <c r="X75" s="46" t="str">
        <f>IF(tblRiskRegister[[#This Row],[Risk Score]]&gt;5,IF(tblRiskRegister[[#This Row],[Risk Treatment Safeguard Risk Score]]&lt;6, IF(tblRiskRegister[[#This Row],[Risk Treatment Safeguard Risk Score]]&lt;=tblRiskRegister[[#This Row],[Risk Score]],"Yes","No"),"No"),"Yes")</f>
        <v>No</v>
      </c>
      <c r="Y75" s="26"/>
      <c r="Z75" s="26"/>
      <c r="AA75" s="27"/>
    </row>
    <row r="76" spans="2:27" ht="51" x14ac:dyDescent="0.2">
      <c r="B76" s="22">
        <v>19.600000000000001</v>
      </c>
      <c r="C76" s="23" t="s">
        <v>45</v>
      </c>
      <c r="D76" s="176" t="s">
        <v>151</v>
      </c>
      <c r="E76" s="25"/>
      <c r="F76" s="45">
        <f>IFERROR(VLOOKUP(tblRiskRegister[[#This Row],[Asset Class]],tblVCDBIndex[],4,FALSE),"")</f>
        <v>3</v>
      </c>
      <c r="G76" s="45" t="str">
        <f>IFERROR(VLOOKUP(10*tblRiskRegister[[#This Row],[Safeguard Maturity Score]]+tblRiskRegister[[#This Row],[VCDB Index]],tblHITIndexWeightTable[],4,FALSE),"")</f>
        <v/>
      </c>
      <c r="H76" s="45">
        <f>VLOOKUP(tblRiskRegister[[#This Row],[Asset Class]],tblImpactIndex[],2,FALSE)</f>
        <v>0</v>
      </c>
      <c r="I76" s="45">
        <f>VLOOKUP(tblRiskRegister[[#This Row],[Asset Class]],tblImpactIndex[],3,FALSE)</f>
        <v>0</v>
      </c>
      <c r="J76" s="45">
        <f>VLOOKUP(tblRiskRegister[[#This Row],[Asset Class]],tblImpactIndex[],4,FALSE)</f>
        <v>0</v>
      </c>
      <c r="K76" s="45" t="str">
        <f>IFERROR(MAX(tblRiskRegister[[#This Row],[Impact to Mission]:[Impact to Obligations]])*tblRiskRegister[[#This Row],[Expectancy Score]],"")</f>
        <v/>
      </c>
      <c r="L76" s="45" t="str">
        <f>tblRiskRegister[[#This Row],[Risk Score]]</f>
        <v/>
      </c>
      <c r="M76" s="214"/>
      <c r="N76" s="37">
        <v>19.600000000000001</v>
      </c>
      <c r="O76" s="24" t="s">
        <v>45</v>
      </c>
      <c r="P76" s="24" t="s">
        <v>208</v>
      </c>
      <c r="Q76" s="24"/>
      <c r="R76" s="25"/>
      <c r="S76" s="46" t="str">
        <f>IFERROR(VLOOKUP(10*tblRiskRegister[[#This Row],[Risk Treatment Safeguard Maturity Score]]+tblRiskRegister[[#This Row],[VCDB Index]],tblHITIndexWeightTable[],4,FALSE),"")</f>
        <v/>
      </c>
      <c r="T76" s="46">
        <f>VLOOKUP(tblRiskRegister[[#This Row],[Asset Class]],tblImpactIndex[],2,FALSE)</f>
        <v>0</v>
      </c>
      <c r="U76" s="46">
        <f>VLOOKUP(tblRiskRegister[[#This Row],[Asset Class]],tblImpactIndex[],3,FALSE)</f>
        <v>0</v>
      </c>
      <c r="V76" s="46">
        <f>VLOOKUP(tblRiskRegister[[#This Row],[Asset Class]],tblImpactIndex[],4,FALSE)</f>
        <v>0</v>
      </c>
      <c r="W76" s="46" t="str">
        <f>IFERROR(MAX(tblRiskRegister[[#This Row],[Risk Treatment Safeguard Impact to Mission]:[Risk Treatment Safeguard Impact to Obligations]])*tblRiskRegister[[#This Row],[Risk Treatment
Safeguard Expectancy Score]],"")</f>
        <v/>
      </c>
      <c r="X76" s="46" t="str">
        <f>IF(tblRiskRegister[[#This Row],[Risk Score]]&gt;5,IF(tblRiskRegister[[#This Row],[Risk Treatment Safeguard Risk Score]]&lt;6, IF(tblRiskRegister[[#This Row],[Risk Treatment Safeguard Risk Score]]&lt;=tblRiskRegister[[#This Row],[Risk Score]],"Yes","No"),"No"),"Yes")</f>
        <v>No</v>
      </c>
      <c r="Y76" s="26"/>
      <c r="Z76" s="26"/>
      <c r="AA76" s="27"/>
    </row>
  </sheetData>
  <sheetProtection sheet="1" formatCells="0" formatColumns="0" formatRows="0" insertRows="0" sort="0" autoFilter="0" pivotTables="0"/>
  <mergeCells count="13">
    <mergeCell ref="AC31:AE31"/>
    <mergeCell ref="N31:AA31"/>
    <mergeCell ref="B2:B4"/>
    <mergeCell ref="D2:E2"/>
    <mergeCell ref="D3:E3"/>
    <mergeCell ref="D4:E4"/>
    <mergeCell ref="C8:F8"/>
    <mergeCell ref="C31:L31"/>
    <mergeCell ref="H8:I14"/>
    <mergeCell ref="H18:H26"/>
    <mergeCell ref="F20:G20"/>
    <mergeCell ref="F21:G26"/>
    <mergeCell ref="C18:E18"/>
  </mergeCells>
  <conditionalFormatting sqref="L34:M76">
    <cfRule type="iconSet" priority="48">
      <iconSet showValue="0" reverse="1">
        <cfvo type="percent" val="0"/>
        <cfvo type="num" val="6"/>
        <cfvo type="num" val="6" gte="0"/>
      </iconSet>
    </cfRule>
    <cfRule type="iconSet" priority="49">
      <iconSet showValue="0" reverse="1">
        <cfvo type="percent" val="0"/>
        <cfvo type="num" val="6"/>
        <cfvo type="num" val="15"/>
      </iconSet>
    </cfRule>
    <cfRule type="iconSet" priority="50">
      <iconSet>
        <cfvo type="percent" val="0"/>
        <cfvo type="percent" val="33"/>
        <cfvo type="percent" val="67"/>
      </iconSet>
    </cfRule>
  </conditionalFormatting>
  <dataValidations count="6">
    <dataValidation type="list" allowBlank="1" showInputMessage="1" showErrorMessage="1" sqref="E34:E76 R34:R76" xr:uid="{C706CF28-DC11-48B4-A0FE-B28E5E8976DD}">
      <formula1>Maturity_Score</formula1>
    </dataValidation>
    <dataValidation type="list" allowBlank="1" showInputMessage="1" showErrorMessage="1" sqref="AA34:AA76" xr:uid="{2140E50C-48B6-42D0-B6C2-DE4EFCBDB057}">
      <formula1>"2021,2022,2023,2024,2025,2026,2027,2028,2029,2030,2031"</formula1>
    </dataValidation>
    <dataValidation type="list" allowBlank="1" showInputMessage="1" showErrorMessage="1" sqref="D34:D76" xr:uid="{A6A9D8E1-EFC3-4451-81B3-E2998D131B52}">
      <formula1>Asset_Class</formula1>
    </dataValidation>
    <dataValidation type="list" allowBlank="1" showInputMessage="1" showErrorMessage="1" sqref="Z34:Z76" xr:uid="{93CDAE0B-9984-4E29-80B7-7C6A0FAE2467}">
      <formula1>"Q1, Q2, Q3, Q4"</formula1>
    </dataValidation>
    <dataValidation type="list" allowBlank="1" showInputMessage="1" showErrorMessage="1" sqref="C21:E26" xr:uid="{521325BF-FDF2-4C0F-9C4D-F0A12191DD7B}">
      <formula1>"1,2,3"</formula1>
    </dataValidation>
    <dataValidation type="list" allowBlank="1" showInputMessage="1" showErrorMessage="1" sqref="M34:M76" xr:uid="{1037AC46-229F-4F68-9474-AE21DAE81B83}">
      <formula1>"Accept,Reduce"</formula1>
    </dataValidation>
  </dataValidations>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584CF-2634-4D78-B712-49EC238B69A8}">
  <sheetPr>
    <tabColor rgb="FF0070C0"/>
  </sheetPr>
  <dimension ref="B2:AE89"/>
  <sheetViews>
    <sheetView showGridLines="0" zoomScaleNormal="100" workbookViewId="0">
      <selection activeCell="B2" sqref="B2:B4"/>
    </sheetView>
  </sheetViews>
  <sheetFormatPr defaultColWidth="9.140625" defaultRowHeight="12.75" x14ac:dyDescent="0.2"/>
  <cols>
    <col min="1" max="1" width="9.140625" style="2"/>
    <col min="2" max="2" width="21.5703125" style="2" bestFit="1" customWidth="1"/>
    <col min="3" max="3" width="20.7109375" style="17" customWidth="1"/>
    <col min="4" max="6" width="20.7109375" style="2" customWidth="1"/>
    <col min="7" max="12" width="12" style="2" customWidth="1"/>
    <col min="13" max="13" width="12.140625" style="2" customWidth="1"/>
    <col min="14" max="14" width="20.5703125" style="2" customWidth="1"/>
    <col min="15" max="15" width="26.42578125" style="2" customWidth="1"/>
    <col min="16" max="16" width="76.42578125" style="2" customWidth="1"/>
    <col min="17" max="18" width="22.42578125" style="2" customWidth="1"/>
    <col min="19" max="19" width="18.140625" style="2" customWidth="1"/>
    <col min="20" max="20" width="20.42578125" style="2" customWidth="1"/>
    <col min="21" max="26" width="15.5703125" style="2" customWidth="1"/>
    <col min="27" max="27" width="17.42578125" style="2" customWidth="1"/>
    <col min="28" max="28" width="12.85546875" style="2" customWidth="1"/>
    <col min="29" max="29" width="20.140625" style="2" customWidth="1"/>
    <col min="30" max="30" width="9.140625" style="2"/>
    <col min="31" max="31" width="14.140625" style="2" bestFit="1" customWidth="1"/>
    <col min="32" max="16384" width="9.140625" style="2"/>
  </cols>
  <sheetData>
    <row r="2" spans="2:14" x14ac:dyDescent="0.2">
      <c r="B2" s="251" t="s">
        <v>431</v>
      </c>
      <c r="C2" s="1" t="s">
        <v>152</v>
      </c>
      <c r="D2" s="254"/>
      <c r="E2" s="254"/>
    </row>
    <row r="3" spans="2:14" x14ac:dyDescent="0.2">
      <c r="B3" s="252"/>
      <c r="C3" s="1" t="s">
        <v>53</v>
      </c>
      <c r="D3" s="254"/>
      <c r="E3" s="254"/>
    </row>
    <row r="4" spans="2:14" x14ac:dyDescent="0.2">
      <c r="B4" s="253"/>
      <c r="C4" s="1" t="s">
        <v>54</v>
      </c>
      <c r="D4" s="255"/>
      <c r="E4" s="254"/>
    </row>
    <row r="6" spans="2:14" x14ac:dyDescent="0.2">
      <c r="B6" s="3"/>
      <c r="C6" s="4"/>
      <c r="D6" s="4"/>
      <c r="E6" s="4"/>
      <c r="F6" s="4"/>
      <c r="G6" s="4"/>
      <c r="H6" s="4"/>
      <c r="I6" s="4"/>
      <c r="J6" s="4"/>
      <c r="K6" s="4"/>
      <c r="L6" s="4"/>
      <c r="M6" s="4"/>
      <c r="N6" s="4"/>
    </row>
    <row r="8" spans="2:14" x14ac:dyDescent="0.2">
      <c r="B8" s="5" t="s">
        <v>48</v>
      </c>
      <c r="C8" s="256"/>
      <c r="D8" s="256"/>
      <c r="E8" s="256"/>
      <c r="F8" s="256"/>
      <c r="H8" s="257"/>
      <c r="I8" s="257"/>
    </row>
    <row r="9" spans="2:14" x14ac:dyDescent="0.2">
      <c r="C9" s="2"/>
      <c r="H9" s="257"/>
      <c r="I9" s="257"/>
    </row>
    <row r="10" spans="2:14" ht="25.5" x14ac:dyDescent="0.2">
      <c r="B10" s="6" t="s">
        <v>5</v>
      </c>
      <c r="C10" s="7" t="s">
        <v>6</v>
      </c>
      <c r="D10" s="7" t="s">
        <v>153</v>
      </c>
      <c r="E10" s="47" t="s">
        <v>154</v>
      </c>
      <c r="F10" s="7" t="s">
        <v>52</v>
      </c>
      <c r="H10" s="257"/>
      <c r="I10" s="257"/>
    </row>
    <row r="11" spans="2:14" ht="38.25" x14ac:dyDescent="0.2">
      <c r="B11" s="8" t="s">
        <v>4</v>
      </c>
      <c r="C11" s="38"/>
      <c r="D11" s="38"/>
      <c r="E11" s="39" t="s">
        <v>67</v>
      </c>
      <c r="F11" s="38"/>
      <c r="H11" s="257"/>
      <c r="I11" s="257"/>
    </row>
    <row r="12" spans="2:14" ht="25.5" x14ac:dyDescent="0.2">
      <c r="B12" s="9" t="s">
        <v>61</v>
      </c>
      <c r="C12" s="10" t="s">
        <v>56</v>
      </c>
      <c r="D12" s="10" t="s">
        <v>58</v>
      </c>
      <c r="E12" s="11"/>
      <c r="F12" s="10" t="s">
        <v>64</v>
      </c>
      <c r="H12" s="257"/>
      <c r="I12" s="257"/>
    </row>
    <row r="13" spans="2:14" ht="51" x14ac:dyDescent="0.2">
      <c r="B13" s="9" t="s">
        <v>62</v>
      </c>
      <c r="C13" s="10" t="s">
        <v>57</v>
      </c>
      <c r="D13" s="10" t="s">
        <v>59</v>
      </c>
      <c r="E13" s="11"/>
      <c r="F13" s="10" t="s">
        <v>65</v>
      </c>
      <c r="H13" s="257"/>
      <c r="I13" s="257"/>
    </row>
    <row r="14" spans="2:14" ht="38.25" x14ac:dyDescent="0.2">
      <c r="B14" s="9" t="s">
        <v>63</v>
      </c>
      <c r="C14" s="10" t="s">
        <v>55</v>
      </c>
      <c r="D14" s="10" t="s">
        <v>60</v>
      </c>
      <c r="E14" s="12"/>
      <c r="F14" s="10" t="s">
        <v>66</v>
      </c>
      <c r="H14" s="257"/>
      <c r="I14" s="257"/>
    </row>
    <row r="16" spans="2:14" x14ac:dyDescent="0.2">
      <c r="B16" s="3"/>
      <c r="C16" s="4"/>
      <c r="D16" s="4"/>
      <c r="E16" s="4"/>
      <c r="F16" s="4"/>
      <c r="G16" s="4"/>
      <c r="H16" s="4"/>
      <c r="I16" s="4"/>
      <c r="J16" s="4"/>
      <c r="K16" s="4"/>
      <c r="L16" s="4"/>
      <c r="M16" s="4"/>
      <c r="N16" s="4"/>
    </row>
    <row r="18" spans="2:31" ht="83.25" customHeight="1" x14ac:dyDescent="0.2">
      <c r="B18" s="5" t="s">
        <v>69</v>
      </c>
      <c r="C18" s="260" t="s">
        <v>391</v>
      </c>
      <c r="D18" s="261"/>
      <c r="E18" s="262"/>
      <c r="H18" s="258"/>
    </row>
    <row r="19" spans="2:31" x14ac:dyDescent="0.2">
      <c r="B19" s="13"/>
      <c r="C19" s="14"/>
      <c r="D19" s="14"/>
      <c r="E19" s="14"/>
      <c r="H19" s="258"/>
    </row>
    <row r="20" spans="2:31" ht="25.5" x14ac:dyDescent="0.2">
      <c r="B20" s="6" t="s">
        <v>51</v>
      </c>
      <c r="C20" s="7" t="s">
        <v>46</v>
      </c>
      <c r="D20" s="7" t="s">
        <v>155</v>
      </c>
      <c r="E20" s="7" t="s">
        <v>47</v>
      </c>
      <c r="F20" s="259"/>
      <c r="G20" s="259"/>
      <c r="H20" s="258"/>
    </row>
    <row r="21" spans="2:31" x14ac:dyDescent="0.2">
      <c r="B21" s="9" t="s">
        <v>151</v>
      </c>
      <c r="C21" s="40"/>
      <c r="D21" s="40"/>
      <c r="E21" s="40"/>
      <c r="F21" s="259"/>
      <c r="G21" s="259"/>
      <c r="H21" s="258"/>
    </row>
    <row r="22" spans="2:31" x14ac:dyDescent="0.2">
      <c r="B22" s="16" t="s">
        <v>147</v>
      </c>
      <c r="C22" s="15"/>
      <c r="D22" s="15"/>
      <c r="E22" s="15"/>
      <c r="F22" s="259"/>
      <c r="G22" s="259"/>
      <c r="H22" s="258"/>
    </row>
    <row r="23" spans="2:31" x14ac:dyDescent="0.2">
      <c r="B23" s="16" t="s">
        <v>148</v>
      </c>
      <c r="C23" s="15"/>
      <c r="D23" s="15"/>
      <c r="E23" s="15"/>
      <c r="F23" s="259"/>
      <c r="G23" s="259"/>
      <c r="H23" s="258"/>
    </row>
    <row r="24" spans="2:31" x14ac:dyDescent="0.2">
      <c r="B24" s="16" t="s">
        <v>146</v>
      </c>
      <c r="C24" s="15"/>
      <c r="D24" s="15"/>
      <c r="E24" s="15"/>
      <c r="F24" s="259"/>
      <c r="G24" s="259"/>
      <c r="H24" s="258"/>
    </row>
    <row r="25" spans="2:31" x14ac:dyDescent="0.2">
      <c r="B25" s="16" t="s">
        <v>149</v>
      </c>
      <c r="C25" s="15"/>
      <c r="D25" s="15"/>
      <c r="E25" s="15"/>
      <c r="F25" s="259"/>
      <c r="G25" s="259"/>
      <c r="H25" s="258"/>
    </row>
    <row r="26" spans="2:31" x14ac:dyDescent="0.2">
      <c r="B26" s="16" t="s">
        <v>150</v>
      </c>
      <c r="C26" s="15"/>
      <c r="D26" s="15"/>
      <c r="E26" s="15"/>
      <c r="F26" s="259"/>
      <c r="G26" s="259"/>
      <c r="H26" s="258"/>
    </row>
    <row r="29" spans="2:31" x14ac:dyDescent="0.2">
      <c r="B29" s="3"/>
      <c r="C29" s="4"/>
      <c r="D29" s="4"/>
      <c r="E29" s="4"/>
      <c r="F29" s="4"/>
      <c r="G29" s="4"/>
      <c r="H29" s="4"/>
      <c r="I29" s="4"/>
      <c r="J29" s="4"/>
      <c r="K29" s="4"/>
      <c r="L29" s="4"/>
      <c r="M29" s="4"/>
      <c r="N29" s="4"/>
      <c r="O29" s="4"/>
      <c r="P29" s="4"/>
      <c r="Q29" s="4"/>
      <c r="R29" s="4"/>
      <c r="S29" s="4"/>
      <c r="T29" s="4"/>
      <c r="U29" s="4"/>
      <c r="V29" s="4"/>
      <c r="W29" s="4"/>
      <c r="X29" s="4"/>
      <c r="Y29" s="4"/>
      <c r="Z29" s="4"/>
      <c r="AA29" s="4"/>
    </row>
    <row r="31" spans="2:31" ht="25.5" x14ac:dyDescent="0.2">
      <c r="B31" s="34" t="s">
        <v>68</v>
      </c>
      <c r="C31" s="248" t="s">
        <v>267</v>
      </c>
      <c r="D31" s="249"/>
      <c r="E31" s="249"/>
      <c r="F31" s="249"/>
      <c r="G31" s="249"/>
      <c r="H31" s="249"/>
      <c r="I31" s="249"/>
      <c r="J31" s="249"/>
      <c r="K31" s="249"/>
      <c r="L31" s="250"/>
      <c r="M31" s="34" t="s">
        <v>68</v>
      </c>
      <c r="N31" s="248" t="s">
        <v>265</v>
      </c>
      <c r="O31" s="249"/>
      <c r="P31" s="249"/>
      <c r="Q31" s="249"/>
      <c r="R31" s="249"/>
      <c r="S31" s="249"/>
      <c r="T31" s="249"/>
      <c r="U31" s="249"/>
      <c r="V31" s="249"/>
      <c r="W31" s="249"/>
      <c r="X31" s="249"/>
      <c r="Y31" s="249"/>
      <c r="Z31" s="249"/>
      <c r="AA31" s="250"/>
      <c r="AC31" s="247" t="s">
        <v>432</v>
      </c>
      <c r="AD31" s="247"/>
      <c r="AE31" s="247"/>
    </row>
    <row r="33" spans="2:31" s="20" customFormat="1" ht="63.75" x14ac:dyDescent="0.2">
      <c r="B33" s="18" t="s">
        <v>168</v>
      </c>
      <c r="C33" s="18" t="s">
        <v>169</v>
      </c>
      <c r="D33" s="18" t="s">
        <v>51</v>
      </c>
      <c r="E33" s="43" t="s">
        <v>286</v>
      </c>
      <c r="F33" s="18" t="s">
        <v>49</v>
      </c>
      <c r="G33" s="18" t="s">
        <v>429</v>
      </c>
      <c r="H33" s="18" t="s">
        <v>0</v>
      </c>
      <c r="I33" s="18" t="s">
        <v>156</v>
      </c>
      <c r="J33" s="18" t="s">
        <v>1</v>
      </c>
      <c r="K33" s="18" t="s">
        <v>2</v>
      </c>
      <c r="L33" s="18" t="s">
        <v>3</v>
      </c>
      <c r="M33" s="7" t="s">
        <v>293</v>
      </c>
      <c r="N33" s="19" t="s">
        <v>70</v>
      </c>
      <c r="O33" s="19" t="s">
        <v>74</v>
      </c>
      <c r="P33" s="19" t="s">
        <v>75</v>
      </c>
      <c r="Q33" s="47" t="s">
        <v>171</v>
      </c>
      <c r="R33" s="7" t="s">
        <v>287</v>
      </c>
      <c r="S33" s="19" t="s">
        <v>430</v>
      </c>
      <c r="T33" s="19" t="s">
        <v>76</v>
      </c>
      <c r="U33" s="19" t="s">
        <v>157</v>
      </c>
      <c r="V33" s="19" t="s">
        <v>77</v>
      </c>
      <c r="W33" s="19" t="s">
        <v>79</v>
      </c>
      <c r="X33" s="19" t="s">
        <v>266</v>
      </c>
      <c r="Y33" s="47" t="s">
        <v>78</v>
      </c>
      <c r="Z33" s="47" t="s">
        <v>163</v>
      </c>
      <c r="AA33" s="47" t="s">
        <v>71</v>
      </c>
      <c r="AC33" s="21" t="s">
        <v>158</v>
      </c>
      <c r="AD33" s="21" t="s">
        <v>72</v>
      </c>
      <c r="AE33" s="21" t="s">
        <v>73</v>
      </c>
    </row>
    <row r="34" spans="2:31" ht="140.25" x14ac:dyDescent="0.2">
      <c r="B34" s="29">
        <v>1.1000000000000001</v>
      </c>
      <c r="C34" s="30" t="s">
        <v>94</v>
      </c>
      <c r="D34" s="30" t="s">
        <v>147</v>
      </c>
      <c r="E34" s="25"/>
      <c r="F34" s="45">
        <f>IFERROR(VLOOKUP(tblRiskRegister15[[#This Row],[Asset Class]],tblVCDBIndex[],4,FALSE),"")</f>
        <v>1</v>
      </c>
      <c r="G34" s="45" t="str">
        <f>IFERROR(VLOOKUP(10*tblRiskRegister15[[#This Row],[Safeguard Maturity Score]]+tblRiskRegister15[[#This Row],[VCDB Index]],tblHITIndexWeightTable[],4,FALSE),"")</f>
        <v/>
      </c>
      <c r="H34" s="45">
        <f>VLOOKUP(tblRiskRegister15[[#This Row],[Asset Class]],tblImpactIndex17[],2,FALSE)</f>
        <v>0</v>
      </c>
      <c r="I34" s="45">
        <f>VLOOKUP(tblRiskRegister15[[#This Row],[Asset Class]],tblImpactIndex17[],3,FALSE)</f>
        <v>0</v>
      </c>
      <c r="J34" s="45">
        <f>VLOOKUP(tblRiskRegister15[[#This Row],[Asset Class]],tblImpactIndex17[],4,FALSE)</f>
        <v>0</v>
      </c>
      <c r="K34" s="45" t="str">
        <f>IFERROR(MAX(tblRiskRegister15[[#This Row],[Impact to Mission]:[Impact to Obligations]])*tblRiskRegister15[[#This Row],[Expectancy Score]],"")</f>
        <v/>
      </c>
      <c r="L34" s="45" t="str">
        <f>tblRiskRegister15[[#This Row],[Risk Score]]</f>
        <v/>
      </c>
      <c r="M34" s="214"/>
      <c r="N34" s="29">
        <v>1.1000000000000001</v>
      </c>
      <c r="O34" s="30" t="s">
        <v>94</v>
      </c>
      <c r="P34" s="30" t="s">
        <v>209</v>
      </c>
      <c r="Q34" s="24"/>
      <c r="R34" s="25"/>
      <c r="S34" s="44" t="str">
        <f>IFERROR(VLOOKUP(10*tblRiskRegister15[[#This Row],[Risk Treatment Safeguard Maturity Score]]+tblRiskRegister15[[#This Row],[VCDB Index]],tblHITIndexWeightTable[],4,FALSE),"")</f>
        <v/>
      </c>
      <c r="T34" s="44">
        <f>VLOOKUP(tblRiskRegister15[[#This Row],[Asset Class]],tblImpactIndex17[],2,FALSE)</f>
        <v>0</v>
      </c>
      <c r="U34" s="44">
        <f>VLOOKUP(tblRiskRegister15[[#This Row],[Asset Class]],tblImpactIndex17[],3,FALSE)</f>
        <v>0</v>
      </c>
      <c r="V34" s="44">
        <f>VLOOKUP(tblRiskRegister15[[#This Row],[Asset Class]],tblImpactIndex17[],4,FALSE)</f>
        <v>0</v>
      </c>
      <c r="W34" s="44" t="str">
        <f>IFERROR(MAX(tblRiskRegister15[[#This Row],[Risk Treatment Safeguard Impact to Mission]:[Risk Treatment Safeguard Impact to Obligations]])*tblRiskRegister15[[#This Row],[Risk Treatment
Safeguard Expectancy Score]],"")</f>
        <v/>
      </c>
      <c r="X34" s="46" t="str">
        <f>IF(tblRiskRegister15[[#This Row],[Risk Score]]&gt;5,IF(tblRiskRegister15[[#This Row],[Risk Treatment Safeguard Risk Score]]&lt;6, IF(tblRiskRegister15[[#This Row],[Risk Treatment Safeguard Risk Score]]&lt;=tblRiskRegister15[[#This Row],[Risk Score]],"Yes","No"),"No"),"Yes")</f>
        <v>No</v>
      </c>
      <c r="Y34" s="26"/>
      <c r="Z34" s="26"/>
      <c r="AA34" s="27"/>
      <c r="AC34" s="28">
        <f>SUMIF(tblRiskRegister15[[#All],[Implementation Year]],"="&amp;tblCostImpacts16[[#This Row],[Year]],tblRiskRegister15[[#All],[Risk Treatment Safeguard Cost]])</f>
        <v>0</v>
      </c>
      <c r="AD34" s="13">
        <v>2021</v>
      </c>
      <c r="AE34" s="13" t="str">
        <f>IF(tblCostImpacts16[[#This Row],[Impact to Financial Objectives]]&lt;=$E$12,"Yes","No")</f>
        <v>Yes</v>
      </c>
    </row>
    <row r="35" spans="2:31" ht="38.25" x14ac:dyDescent="0.2">
      <c r="B35" s="29">
        <v>1.2</v>
      </c>
      <c r="C35" s="30" t="s">
        <v>16</v>
      </c>
      <c r="D35" s="30" t="s">
        <v>147</v>
      </c>
      <c r="E35" s="25"/>
      <c r="F35" s="45">
        <f>IFERROR(VLOOKUP(tblRiskRegister15[[#This Row],[Asset Class]],tblVCDBIndex[],4,FALSE),"")</f>
        <v>1</v>
      </c>
      <c r="G35" s="45" t="str">
        <f>IFERROR(VLOOKUP(10*tblRiskRegister15[[#This Row],[Safeguard Maturity Score]]+tblRiskRegister15[[#This Row],[VCDB Index]],tblHITIndexWeightTable[],4,FALSE),"")</f>
        <v/>
      </c>
      <c r="H35" s="45">
        <f>VLOOKUP(tblRiskRegister15[[#This Row],[Asset Class]],tblImpactIndex17[],2,FALSE)</f>
        <v>0</v>
      </c>
      <c r="I35" s="45">
        <f>VLOOKUP(tblRiskRegister15[[#This Row],[Asset Class]],tblImpactIndex17[],3,FALSE)</f>
        <v>0</v>
      </c>
      <c r="J35" s="45">
        <f>VLOOKUP(tblRiskRegister15[[#This Row],[Asset Class]],tblImpactIndex17[],4,FALSE)</f>
        <v>0</v>
      </c>
      <c r="K35" s="45" t="str">
        <f>IFERROR(MAX(tblRiskRegister15[[#This Row],[Impact to Mission]:[Impact to Obligations]])*tblRiskRegister15[[#This Row],[Expectancy Score]],"")</f>
        <v/>
      </c>
      <c r="L35" s="45" t="str">
        <f>tblRiskRegister15[[#This Row],[Risk Score]]</f>
        <v/>
      </c>
      <c r="M35" s="214"/>
      <c r="N35" s="29">
        <v>1.2</v>
      </c>
      <c r="O35" s="30" t="s">
        <v>16</v>
      </c>
      <c r="P35" s="30" t="s">
        <v>210</v>
      </c>
      <c r="Q35" s="24"/>
      <c r="R35" s="25"/>
      <c r="S35" s="46" t="str">
        <f>IFERROR(VLOOKUP(10*tblRiskRegister15[[#This Row],[Risk Treatment Safeguard Maturity Score]]+tblRiskRegister15[[#This Row],[VCDB Index]],tblHITIndexWeightTable[],4,FALSE),"")</f>
        <v/>
      </c>
      <c r="T35" s="46">
        <f>VLOOKUP(tblRiskRegister15[[#This Row],[Asset Class]],tblImpactIndex17[],2,FALSE)</f>
        <v>0</v>
      </c>
      <c r="U35" s="46">
        <f>VLOOKUP(tblRiskRegister15[[#This Row],[Asset Class]],tblImpactIndex17[],3,FALSE)</f>
        <v>0</v>
      </c>
      <c r="V35" s="46">
        <f>VLOOKUP(tblRiskRegister15[[#This Row],[Asset Class]],tblImpactIndex17[],4,FALSE)</f>
        <v>0</v>
      </c>
      <c r="W35" s="46" t="str">
        <f>IFERROR(MAX(tblRiskRegister15[[#This Row],[Risk Treatment Safeguard Impact to Mission]:[Risk Treatment Safeguard Impact to Obligations]])*tblRiskRegister15[[#This Row],[Risk Treatment
Safeguard Expectancy Score]],"")</f>
        <v/>
      </c>
      <c r="X35" s="46" t="str">
        <f>IF(tblRiskRegister15[[#This Row],[Risk Score]]&gt;5,IF(tblRiskRegister15[[#This Row],[Risk Treatment Safeguard Risk Score]]&lt;6, IF(tblRiskRegister15[[#This Row],[Risk Treatment Safeguard Risk Score]]&lt;=tblRiskRegister15[[#This Row],[Risk Score]],"Yes","No"),"No"),"Yes")</f>
        <v>No</v>
      </c>
      <c r="Y35" s="26"/>
      <c r="Z35" s="26"/>
      <c r="AA35" s="27"/>
      <c r="AC35" s="28">
        <f>SUMIF(tblRiskRegister15[[#All],[Implementation Year]],"="&amp;tblCostImpacts16[[#This Row],[Year]],tblRiskRegister15[[#All],[Risk Treatment Safeguard Cost]])</f>
        <v>0</v>
      </c>
      <c r="AD35" s="13">
        <v>2022</v>
      </c>
      <c r="AE35" s="13" t="str">
        <f>IF(tblCostImpacts16[[#This Row],[Impact to Financial Objectives]]&lt;=$E$12,"Yes","No")</f>
        <v>Yes</v>
      </c>
    </row>
    <row r="36" spans="2:31" ht="76.5" x14ac:dyDescent="0.2">
      <c r="B36" s="29">
        <v>2.1</v>
      </c>
      <c r="C36" s="30" t="s">
        <v>95</v>
      </c>
      <c r="D36" s="30" t="s">
        <v>148</v>
      </c>
      <c r="E36" s="25"/>
      <c r="F36" s="45">
        <f>IFERROR(VLOOKUP(tblRiskRegister15[[#This Row],[Asset Class]],tblVCDBIndex[],4,FALSE),"")</f>
        <v>2</v>
      </c>
      <c r="G36" s="45" t="str">
        <f>IFERROR(VLOOKUP(10*tblRiskRegister15[[#This Row],[Safeguard Maturity Score]]+tblRiskRegister15[[#This Row],[VCDB Index]],tblHITIndexWeightTable[],4,FALSE),"")</f>
        <v/>
      </c>
      <c r="H36" s="45">
        <f>VLOOKUP(tblRiskRegister15[[#This Row],[Asset Class]],tblImpactIndex17[],2,FALSE)</f>
        <v>0</v>
      </c>
      <c r="I36" s="45">
        <f>VLOOKUP(tblRiskRegister15[[#This Row],[Asset Class]],tblImpactIndex17[],3,FALSE)</f>
        <v>0</v>
      </c>
      <c r="J36" s="45">
        <f>VLOOKUP(tblRiskRegister15[[#This Row],[Asset Class]],tblImpactIndex17[],4,FALSE)</f>
        <v>0</v>
      </c>
      <c r="K36" s="45" t="str">
        <f>IFERROR(MAX(tblRiskRegister15[[#This Row],[Impact to Mission]:[Impact to Obligations]])*tblRiskRegister15[[#This Row],[Expectancy Score]],"")</f>
        <v/>
      </c>
      <c r="L36" s="45" t="str">
        <f>tblRiskRegister15[[#This Row],[Risk Score]]</f>
        <v/>
      </c>
      <c r="M36" s="214"/>
      <c r="N36" s="29">
        <v>2.1</v>
      </c>
      <c r="O36" s="30" t="s">
        <v>95</v>
      </c>
      <c r="P36" s="30" t="s">
        <v>211</v>
      </c>
      <c r="Q36" s="24"/>
      <c r="R36" s="25"/>
      <c r="S36" s="46" t="str">
        <f>IFERROR(VLOOKUP(10*tblRiskRegister15[[#This Row],[Risk Treatment Safeguard Maturity Score]]+tblRiskRegister15[[#This Row],[VCDB Index]],tblHITIndexWeightTable[],4,FALSE),"")</f>
        <v/>
      </c>
      <c r="T36" s="46">
        <f>VLOOKUP(tblRiskRegister15[[#This Row],[Asset Class]],tblImpactIndex17[],2,FALSE)</f>
        <v>0</v>
      </c>
      <c r="U36" s="46">
        <f>VLOOKUP(tblRiskRegister15[[#This Row],[Asset Class]],tblImpactIndex17[],3,FALSE)</f>
        <v>0</v>
      </c>
      <c r="V36" s="46">
        <f>VLOOKUP(tblRiskRegister15[[#This Row],[Asset Class]],tblImpactIndex17[],4,FALSE)</f>
        <v>0</v>
      </c>
      <c r="W36" s="46" t="str">
        <f>IFERROR(MAX(tblRiskRegister15[[#This Row],[Risk Treatment Safeguard Impact to Mission]:[Risk Treatment Safeguard Impact to Obligations]])*tblRiskRegister15[[#This Row],[Risk Treatment
Safeguard Expectancy Score]],"")</f>
        <v/>
      </c>
      <c r="X36" s="46" t="str">
        <f>IF(tblRiskRegister15[[#This Row],[Risk Score]]&gt;5,IF(tblRiskRegister15[[#This Row],[Risk Treatment Safeguard Risk Score]]&lt;6, IF(tblRiskRegister15[[#This Row],[Risk Treatment Safeguard Risk Score]]&lt;=tblRiskRegister15[[#This Row],[Risk Score]],"Yes","No"),"No"),"Yes")</f>
        <v>No</v>
      </c>
      <c r="Y36" s="26"/>
      <c r="Z36" s="26"/>
      <c r="AA36" s="27"/>
      <c r="AC36" s="28">
        <f>SUMIF(tblRiskRegister15[[#All],[Implementation Year]],"="&amp;tblCostImpacts16[[#This Row],[Year]],tblRiskRegister15[[#All],[Risk Treatment Safeguard Cost]])</f>
        <v>0</v>
      </c>
      <c r="AD36" s="13">
        <v>2023</v>
      </c>
      <c r="AE36" s="13" t="str">
        <f>IF(tblCostImpacts16[[#This Row],[Impact to Financial Objectives]]&lt;=$E$12,"Yes","No")</f>
        <v>Yes</v>
      </c>
    </row>
    <row r="37" spans="2:31" ht="76.5" x14ac:dyDescent="0.2">
      <c r="B37" s="29">
        <v>2.2000000000000002</v>
      </c>
      <c r="C37" s="30" t="s">
        <v>96</v>
      </c>
      <c r="D37" s="30" t="s">
        <v>148</v>
      </c>
      <c r="E37" s="25"/>
      <c r="F37" s="45">
        <f>IFERROR(VLOOKUP(tblRiskRegister15[[#This Row],[Asset Class]],tblVCDBIndex[],4,FALSE),"")</f>
        <v>2</v>
      </c>
      <c r="G37" s="45" t="str">
        <f>IFERROR(VLOOKUP(10*tblRiskRegister15[[#This Row],[Safeguard Maturity Score]]+tblRiskRegister15[[#This Row],[VCDB Index]],tblHITIndexWeightTable[],4,FALSE),"")</f>
        <v/>
      </c>
      <c r="H37" s="45">
        <f>VLOOKUP(tblRiskRegister15[[#This Row],[Asset Class]],tblImpactIndex17[],2,FALSE)</f>
        <v>0</v>
      </c>
      <c r="I37" s="45">
        <f>VLOOKUP(tblRiskRegister15[[#This Row],[Asset Class]],tblImpactIndex17[],3,FALSE)</f>
        <v>0</v>
      </c>
      <c r="J37" s="45">
        <f>VLOOKUP(tblRiskRegister15[[#This Row],[Asset Class]],tblImpactIndex17[],4,FALSE)</f>
        <v>0</v>
      </c>
      <c r="K37" s="45" t="str">
        <f>IFERROR(MAX(tblRiskRegister15[[#This Row],[Impact to Mission]:[Impact to Obligations]])*tblRiskRegister15[[#This Row],[Expectancy Score]],"")</f>
        <v/>
      </c>
      <c r="L37" s="45" t="str">
        <f>tblRiskRegister15[[#This Row],[Risk Score]]</f>
        <v/>
      </c>
      <c r="M37" s="214"/>
      <c r="N37" s="29">
        <v>2.2000000000000002</v>
      </c>
      <c r="O37" s="30" t="s">
        <v>96</v>
      </c>
      <c r="P37" s="30" t="s">
        <v>212</v>
      </c>
      <c r="Q37" s="24"/>
      <c r="R37" s="25"/>
      <c r="S37" s="46" t="str">
        <f>IFERROR(VLOOKUP(10*tblRiskRegister15[[#This Row],[Risk Treatment Safeguard Maturity Score]]+tblRiskRegister15[[#This Row],[VCDB Index]],tblHITIndexWeightTable[],4,FALSE),"")</f>
        <v/>
      </c>
      <c r="T37" s="46">
        <f>VLOOKUP(tblRiskRegister15[[#This Row],[Asset Class]],tblImpactIndex17[],2,FALSE)</f>
        <v>0</v>
      </c>
      <c r="U37" s="46">
        <f>VLOOKUP(tblRiskRegister15[[#This Row],[Asset Class]],tblImpactIndex17[],3,FALSE)</f>
        <v>0</v>
      </c>
      <c r="V37" s="46">
        <f>VLOOKUP(tblRiskRegister15[[#This Row],[Asset Class]],tblImpactIndex17[],4,FALSE)</f>
        <v>0</v>
      </c>
      <c r="W37" s="46" t="str">
        <f>IFERROR(MAX(tblRiskRegister15[[#This Row],[Risk Treatment Safeguard Impact to Mission]:[Risk Treatment Safeguard Impact to Obligations]])*tblRiskRegister15[[#This Row],[Risk Treatment
Safeguard Expectancy Score]],"")</f>
        <v/>
      </c>
      <c r="X37" s="46" t="str">
        <f>IF(tblRiskRegister15[[#This Row],[Risk Score]]&gt;5,IF(tblRiskRegister15[[#This Row],[Risk Treatment Safeguard Risk Score]]&lt;6, IF(tblRiskRegister15[[#This Row],[Risk Treatment Safeguard Risk Score]]&lt;=tblRiskRegister15[[#This Row],[Risk Score]],"Yes","No"),"No"),"Yes")</f>
        <v>No</v>
      </c>
      <c r="Y37" s="26"/>
      <c r="Z37" s="26"/>
      <c r="AA37" s="27"/>
      <c r="AC37" s="28">
        <f>SUMIF(tblRiskRegister15[[#All],[Implementation Year]],"="&amp;tblCostImpacts16[[#This Row],[Year]],tblRiskRegister15[[#All],[Risk Treatment Safeguard Cost]])</f>
        <v>0</v>
      </c>
      <c r="AD37" s="13">
        <v>2024</v>
      </c>
      <c r="AE37" s="13" t="str">
        <f>IF(tblCostImpacts16[[#This Row],[Impact to Financial Objectives]]&lt;=$E$12,"Yes","No")</f>
        <v>Yes</v>
      </c>
    </row>
    <row r="38" spans="2:31" ht="25.5" x14ac:dyDescent="0.2">
      <c r="B38" s="29">
        <v>2.2999999999999998</v>
      </c>
      <c r="C38" s="30" t="s">
        <v>97</v>
      </c>
      <c r="D38" s="30" t="s">
        <v>148</v>
      </c>
      <c r="E38" s="25"/>
      <c r="F38" s="45">
        <f>IFERROR(VLOOKUP(tblRiskRegister15[[#This Row],[Asset Class]],tblVCDBIndex[],4,FALSE),"")</f>
        <v>2</v>
      </c>
      <c r="G38" s="45" t="str">
        <f>IFERROR(VLOOKUP(10*tblRiskRegister15[[#This Row],[Safeguard Maturity Score]]+tblRiskRegister15[[#This Row],[VCDB Index]],tblHITIndexWeightTable[],4,FALSE),"")</f>
        <v/>
      </c>
      <c r="H38" s="45">
        <f>VLOOKUP(tblRiskRegister15[[#This Row],[Asset Class]],tblImpactIndex17[],2,FALSE)</f>
        <v>0</v>
      </c>
      <c r="I38" s="45">
        <f>VLOOKUP(tblRiskRegister15[[#This Row],[Asset Class]],tblImpactIndex17[],3,FALSE)</f>
        <v>0</v>
      </c>
      <c r="J38" s="45">
        <f>VLOOKUP(tblRiskRegister15[[#This Row],[Asset Class]],tblImpactIndex17[],4,FALSE)</f>
        <v>0</v>
      </c>
      <c r="K38" s="45" t="str">
        <f>IFERROR(MAX(tblRiskRegister15[[#This Row],[Impact to Mission]:[Impact to Obligations]])*tblRiskRegister15[[#This Row],[Expectancy Score]],"")</f>
        <v/>
      </c>
      <c r="L38" s="45" t="str">
        <f>tblRiskRegister15[[#This Row],[Risk Score]]</f>
        <v/>
      </c>
      <c r="M38" s="214"/>
      <c r="N38" s="29">
        <v>2.2999999999999998</v>
      </c>
      <c r="O38" s="30" t="s">
        <v>97</v>
      </c>
      <c r="P38" s="30" t="s">
        <v>213</v>
      </c>
      <c r="Q38" s="24"/>
      <c r="R38" s="25"/>
      <c r="S38" s="46" t="str">
        <f>IFERROR(VLOOKUP(10*tblRiskRegister15[[#This Row],[Risk Treatment Safeguard Maturity Score]]+tblRiskRegister15[[#This Row],[VCDB Index]],tblHITIndexWeightTable[],4,FALSE),"")</f>
        <v/>
      </c>
      <c r="T38" s="46">
        <f>VLOOKUP(tblRiskRegister15[[#This Row],[Asset Class]],tblImpactIndex17[],2,FALSE)</f>
        <v>0</v>
      </c>
      <c r="U38" s="46">
        <f>VLOOKUP(tblRiskRegister15[[#This Row],[Asset Class]],tblImpactIndex17[],3,FALSE)</f>
        <v>0</v>
      </c>
      <c r="V38" s="46">
        <f>VLOOKUP(tblRiskRegister15[[#This Row],[Asset Class]],tblImpactIndex17[],4,FALSE)</f>
        <v>0</v>
      </c>
      <c r="W38" s="46" t="str">
        <f>IFERROR(MAX(tblRiskRegister15[[#This Row],[Risk Treatment Safeguard Impact to Mission]:[Risk Treatment Safeguard Impact to Obligations]])*tblRiskRegister15[[#This Row],[Risk Treatment
Safeguard Expectancy Score]],"")</f>
        <v/>
      </c>
      <c r="X38" s="46" t="str">
        <f>IF(tblRiskRegister15[[#This Row],[Risk Score]]&gt;5,IF(tblRiskRegister15[[#This Row],[Risk Treatment Safeguard Risk Score]]&lt;6, IF(tblRiskRegister15[[#This Row],[Risk Treatment Safeguard Risk Score]]&lt;=tblRiskRegister15[[#This Row],[Risk Score]],"Yes","No"),"No"),"Yes")</f>
        <v>No</v>
      </c>
      <c r="Y38" s="26"/>
      <c r="Z38" s="26"/>
      <c r="AA38" s="27"/>
      <c r="AC38" s="28">
        <f>SUMIF(tblRiskRegister15[[#All],[Implementation Year]],"="&amp;tblCostImpacts16[[#This Row],[Year]],tblRiskRegister15[[#All],[Risk Treatment Safeguard Cost]])</f>
        <v>0</v>
      </c>
      <c r="AD38" s="13">
        <v>2025</v>
      </c>
      <c r="AE38" s="13" t="str">
        <f>IF(tblCostImpacts16[[#This Row],[Impact to Financial Objectives]]&lt;=$E$12,"Yes","No")</f>
        <v>Yes</v>
      </c>
    </row>
    <row r="39" spans="2:31" ht="63.75" x14ac:dyDescent="0.2">
      <c r="B39" s="29">
        <v>3.1</v>
      </c>
      <c r="C39" s="30" t="s">
        <v>98</v>
      </c>
      <c r="D39" s="30" t="s">
        <v>146</v>
      </c>
      <c r="E39" s="25"/>
      <c r="F39" s="45">
        <f>IFERROR(VLOOKUP(tblRiskRegister15[[#This Row],[Asset Class]],tblVCDBIndex[],4,FALSE),"")</f>
        <v>3</v>
      </c>
      <c r="G39" s="45" t="str">
        <f>IFERROR(VLOOKUP(10*tblRiskRegister15[[#This Row],[Safeguard Maturity Score]]+tblRiskRegister15[[#This Row],[VCDB Index]],tblHITIndexWeightTable[],4,FALSE),"")</f>
        <v/>
      </c>
      <c r="H39" s="45">
        <f>VLOOKUP(tblRiskRegister15[[#This Row],[Asset Class]],tblImpactIndex17[],2,FALSE)</f>
        <v>0</v>
      </c>
      <c r="I39" s="45">
        <f>VLOOKUP(tblRiskRegister15[[#This Row],[Asset Class]],tblImpactIndex17[],3,FALSE)</f>
        <v>0</v>
      </c>
      <c r="J39" s="45">
        <f>VLOOKUP(tblRiskRegister15[[#This Row],[Asset Class]],tblImpactIndex17[],4,FALSE)</f>
        <v>0</v>
      </c>
      <c r="K39" s="45" t="str">
        <f>IFERROR(MAX(tblRiskRegister15[[#This Row],[Impact to Mission]:[Impact to Obligations]])*tblRiskRegister15[[#This Row],[Expectancy Score]],"")</f>
        <v/>
      </c>
      <c r="L39" s="45" t="str">
        <f>tblRiskRegister15[[#This Row],[Risk Score]]</f>
        <v/>
      </c>
      <c r="M39" s="214"/>
      <c r="N39" s="29">
        <v>3.1</v>
      </c>
      <c r="O39" s="30" t="s">
        <v>98</v>
      </c>
      <c r="P39" s="30" t="s">
        <v>214</v>
      </c>
      <c r="Q39" s="24"/>
      <c r="R39" s="25"/>
      <c r="S39" s="46" t="str">
        <f>IFERROR(VLOOKUP(10*tblRiskRegister15[[#This Row],[Risk Treatment Safeguard Maturity Score]]+tblRiskRegister15[[#This Row],[VCDB Index]],tblHITIndexWeightTable[],4,FALSE),"")</f>
        <v/>
      </c>
      <c r="T39" s="46">
        <f>VLOOKUP(tblRiskRegister15[[#This Row],[Asset Class]],tblImpactIndex17[],2,FALSE)</f>
        <v>0</v>
      </c>
      <c r="U39" s="46">
        <f>VLOOKUP(tblRiskRegister15[[#This Row],[Asset Class]],tblImpactIndex17[],3,FALSE)</f>
        <v>0</v>
      </c>
      <c r="V39" s="46">
        <f>VLOOKUP(tblRiskRegister15[[#This Row],[Asset Class]],tblImpactIndex17[],4,FALSE)</f>
        <v>0</v>
      </c>
      <c r="W39" s="46" t="str">
        <f>IFERROR(MAX(tblRiskRegister15[[#This Row],[Risk Treatment Safeguard Impact to Mission]:[Risk Treatment Safeguard Impact to Obligations]])*tblRiskRegister15[[#This Row],[Risk Treatment
Safeguard Expectancy Score]],"")</f>
        <v/>
      </c>
      <c r="X39" s="46" t="str">
        <f>IF(tblRiskRegister15[[#This Row],[Risk Score]]&gt;5,IF(tblRiskRegister15[[#This Row],[Risk Treatment Safeguard Risk Score]]&lt;6, IF(tblRiskRegister15[[#This Row],[Risk Treatment Safeguard Risk Score]]&lt;=tblRiskRegister15[[#This Row],[Risk Score]],"Yes","No"),"No"),"Yes")</f>
        <v>No</v>
      </c>
      <c r="Y39" s="26"/>
      <c r="Z39" s="26"/>
      <c r="AA39" s="27"/>
      <c r="AC39" s="28">
        <f>SUMIF(tblRiskRegister15[[#All],[Implementation Year]],"="&amp;tblCostImpacts16[[#This Row],[Year]],tblRiskRegister15[[#All],[Risk Treatment Safeguard Cost]])</f>
        <v>0</v>
      </c>
      <c r="AD39" s="13">
        <v>2026</v>
      </c>
      <c r="AE39" s="13" t="str">
        <f>IF(tblCostImpacts16[[#This Row],[Impact to Financial Objectives]]&lt;=$E$12,"Yes","No")</f>
        <v>Yes</v>
      </c>
    </row>
    <row r="40" spans="2:31" ht="38.25" x14ac:dyDescent="0.2">
      <c r="B40" s="29">
        <v>3.2</v>
      </c>
      <c r="C40" s="30" t="s">
        <v>99</v>
      </c>
      <c r="D40" s="30" t="s">
        <v>146</v>
      </c>
      <c r="E40" s="25"/>
      <c r="F40" s="45">
        <f>IFERROR(VLOOKUP(tblRiskRegister15[[#This Row],[Asset Class]],tblVCDBIndex[],4,FALSE),"")</f>
        <v>3</v>
      </c>
      <c r="G40" s="45" t="str">
        <f>IFERROR(VLOOKUP(10*tblRiskRegister15[[#This Row],[Safeguard Maturity Score]]+tblRiskRegister15[[#This Row],[VCDB Index]],tblHITIndexWeightTable[],4,FALSE),"")</f>
        <v/>
      </c>
      <c r="H40" s="45">
        <f>VLOOKUP(tblRiskRegister15[[#This Row],[Asset Class]],tblImpactIndex17[],2,FALSE)</f>
        <v>0</v>
      </c>
      <c r="I40" s="45">
        <f>VLOOKUP(tblRiskRegister15[[#This Row],[Asset Class]],tblImpactIndex17[],3,FALSE)</f>
        <v>0</v>
      </c>
      <c r="J40" s="45">
        <f>VLOOKUP(tblRiskRegister15[[#This Row],[Asset Class]],tblImpactIndex17[],4,FALSE)</f>
        <v>0</v>
      </c>
      <c r="K40" s="45" t="str">
        <f>IFERROR(MAX(tblRiskRegister15[[#This Row],[Impact to Mission]:[Impact to Obligations]])*tblRiskRegister15[[#This Row],[Expectancy Score]],"")</f>
        <v/>
      </c>
      <c r="L40" s="45" t="str">
        <f>tblRiskRegister15[[#This Row],[Risk Score]]</f>
        <v/>
      </c>
      <c r="M40" s="214"/>
      <c r="N40" s="29">
        <v>3.2</v>
      </c>
      <c r="O40" s="30" t="s">
        <v>99</v>
      </c>
      <c r="P40" s="30" t="s">
        <v>215</v>
      </c>
      <c r="Q40" s="24"/>
      <c r="R40" s="25"/>
      <c r="S40" s="46" t="str">
        <f>IFERROR(VLOOKUP(10*tblRiskRegister15[[#This Row],[Risk Treatment Safeguard Maturity Score]]+tblRiskRegister15[[#This Row],[VCDB Index]],tblHITIndexWeightTable[],4,FALSE),"")</f>
        <v/>
      </c>
      <c r="T40" s="46">
        <f>VLOOKUP(tblRiskRegister15[[#This Row],[Asset Class]],tblImpactIndex17[],2,FALSE)</f>
        <v>0</v>
      </c>
      <c r="U40" s="46">
        <f>VLOOKUP(tblRiskRegister15[[#This Row],[Asset Class]],tblImpactIndex17[],3,FALSE)</f>
        <v>0</v>
      </c>
      <c r="V40" s="46">
        <f>VLOOKUP(tblRiskRegister15[[#This Row],[Asset Class]],tblImpactIndex17[],4,FALSE)</f>
        <v>0</v>
      </c>
      <c r="W40" s="46" t="str">
        <f>IFERROR(MAX(tblRiskRegister15[[#This Row],[Risk Treatment Safeguard Impact to Mission]:[Risk Treatment Safeguard Impact to Obligations]])*tblRiskRegister15[[#This Row],[Risk Treatment
Safeguard Expectancy Score]],"")</f>
        <v/>
      </c>
      <c r="X40" s="46" t="str">
        <f>IF(tblRiskRegister15[[#This Row],[Risk Score]]&gt;5,IF(tblRiskRegister15[[#This Row],[Risk Treatment Safeguard Risk Score]]&lt;6, IF(tblRiskRegister15[[#This Row],[Risk Treatment Safeguard Risk Score]]&lt;=tblRiskRegister15[[#This Row],[Risk Score]],"Yes","No"),"No"),"Yes")</f>
        <v>No</v>
      </c>
      <c r="Y40" s="26"/>
      <c r="Z40" s="26"/>
      <c r="AA40" s="27"/>
      <c r="AC40" s="28">
        <f>SUMIF(tblRiskRegister15[[#All],[Implementation Year]],"="&amp;tblCostImpacts16[[#This Row],[Year]],tblRiskRegister15[[#All],[Risk Treatment Safeguard Cost]])</f>
        <v>0</v>
      </c>
      <c r="AD40" s="13">
        <v>2027</v>
      </c>
      <c r="AE40" s="13" t="str">
        <f>IF(tblCostImpacts16[[#This Row],[Impact to Financial Objectives]]&lt;=$E$12,"Yes","No")</f>
        <v>Yes</v>
      </c>
    </row>
    <row r="41" spans="2:31" ht="38.25" x14ac:dyDescent="0.2">
      <c r="B41" s="29">
        <v>3.3</v>
      </c>
      <c r="C41" s="30" t="s">
        <v>100</v>
      </c>
      <c r="D41" s="30" t="s">
        <v>146</v>
      </c>
      <c r="E41" s="25"/>
      <c r="F41" s="45">
        <f>IFERROR(VLOOKUP(tblRiskRegister15[[#This Row],[Asset Class]],tblVCDBIndex[],4,FALSE),"")</f>
        <v>3</v>
      </c>
      <c r="G41" s="45" t="str">
        <f>IFERROR(VLOOKUP(10*tblRiskRegister15[[#This Row],[Safeguard Maturity Score]]+tblRiskRegister15[[#This Row],[VCDB Index]],tblHITIndexWeightTable[],4,FALSE),"")</f>
        <v/>
      </c>
      <c r="H41" s="45">
        <f>VLOOKUP(tblRiskRegister15[[#This Row],[Asset Class]],tblImpactIndex17[],2,FALSE)</f>
        <v>0</v>
      </c>
      <c r="I41" s="45">
        <f>VLOOKUP(tblRiskRegister15[[#This Row],[Asset Class]],tblImpactIndex17[],3,FALSE)</f>
        <v>0</v>
      </c>
      <c r="J41" s="45">
        <f>VLOOKUP(tblRiskRegister15[[#This Row],[Asset Class]],tblImpactIndex17[],4,FALSE)</f>
        <v>0</v>
      </c>
      <c r="K41" s="45" t="str">
        <f>IFERROR(MAX(tblRiskRegister15[[#This Row],[Impact to Mission]:[Impact to Obligations]])*tblRiskRegister15[[#This Row],[Expectancy Score]],"")</f>
        <v/>
      </c>
      <c r="L41" s="45" t="str">
        <f>tblRiskRegister15[[#This Row],[Risk Score]]</f>
        <v/>
      </c>
      <c r="M41" s="214"/>
      <c r="N41" s="29">
        <v>3.3</v>
      </c>
      <c r="O41" s="30" t="s">
        <v>100</v>
      </c>
      <c r="P41" s="30" t="s">
        <v>216</v>
      </c>
      <c r="Q41" s="24"/>
      <c r="R41" s="25"/>
      <c r="S41" s="46" t="str">
        <f>IFERROR(VLOOKUP(10*tblRiskRegister15[[#This Row],[Risk Treatment Safeguard Maturity Score]]+tblRiskRegister15[[#This Row],[VCDB Index]],tblHITIndexWeightTable[],4,FALSE),"")</f>
        <v/>
      </c>
      <c r="T41" s="46">
        <f>VLOOKUP(tblRiskRegister15[[#This Row],[Asset Class]],tblImpactIndex17[],2,FALSE)</f>
        <v>0</v>
      </c>
      <c r="U41" s="46">
        <f>VLOOKUP(tblRiskRegister15[[#This Row],[Asset Class]],tblImpactIndex17[],3,FALSE)</f>
        <v>0</v>
      </c>
      <c r="V41" s="46">
        <f>VLOOKUP(tblRiskRegister15[[#This Row],[Asset Class]],tblImpactIndex17[],4,FALSE)</f>
        <v>0</v>
      </c>
      <c r="W41" s="46" t="str">
        <f>IFERROR(MAX(tblRiskRegister15[[#This Row],[Risk Treatment Safeguard Impact to Mission]:[Risk Treatment Safeguard Impact to Obligations]])*tblRiskRegister15[[#This Row],[Risk Treatment
Safeguard Expectancy Score]],"")</f>
        <v/>
      </c>
      <c r="X41" s="46" t="str">
        <f>IF(tblRiskRegister15[[#This Row],[Risk Score]]&gt;5,IF(tblRiskRegister15[[#This Row],[Risk Treatment Safeguard Risk Score]]&lt;6, IF(tblRiskRegister15[[#This Row],[Risk Treatment Safeguard Risk Score]]&lt;=tblRiskRegister15[[#This Row],[Risk Score]],"Yes","No"),"No"),"Yes")</f>
        <v>No</v>
      </c>
      <c r="Y41" s="26"/>
      <c r="Z41" s="26"/>
      <c r="AA41" s="27"/>
      <c r="AC41" s="28">
        <f>SUMIF(tblRiskRegister15[[#All],[Implementation Year]],"="&amp;tblCostImpacts16[[#This Row],[Year]],tblRiskRegister15[[#All],[Risk Treatment Safeguard Cost]])</f>
        <v>0</v>
      </c>
      <c r="AD41" s="13">
        <v>2028</v>
      </c>
      <c r="AE41" s="13" t="str">
        <f>IF(tblCostImpacts16[[#This Row],[Impact to Financial Objectives]]&lt;=$E$12,"Yes","No")</f>
        <v>Yes</v>
      </c>
    </row>
    <row r="42" spans="2:31" ht="25.5" x14ac:dyDescent="0.2">
      <c r="B42" s="29">
        <v>3.4</v>
      </c>
      <c r="C42" s="30" t="s">
        <v>101</v>
      </c>
      <c r="D42" s="30" t="s">
        <v>146</v>
      </c>
      <c r="E42" s="25"/>
      <c r="F42" s="45">
        <f>IFERROR(VLOOKUP(tblRiskRegister15[[#This Row],[Asset Class]],tblVCDBIndex[],4,FALSE),"")</f>
        <v>3</v>
      </c>
      <c r="G42" s="45" t="str">
        <f>IFERROR(VLOOKUP(10*tblRiskRegister15[[#This Row],[Safeguard Maturity Score]]+tblRiskRegister15[[#This Row],[VCDB Index]],tblHITIndexWeightTable[],4,FALSE),"")</f>
        <v/>
      </c>
      <c r="H42" s="45">
        <f>VLOOKUP(tblRiskRegister15[[#This Row],[Asset Class]],tblImpactIndex17[],2,FALSE)</f>
        <v>0</v>
      </c>
      <c r="I42" s="45">
        <f>VLOOKUP(tblRiskRegister15[[#This Row],[Asset Class]],tblImpactIndex17[],3,FALSE)</f>
        <v>0</v>
      </c>
      <c r="J42" s="45">
        <f>VLOOKUP(tblRiskRegister15[[#This Row],[Asset Class]],tblImpactIndex17[],4,FALSE)</f>
        <v>0</v>
      </c>
      <c r="K42" s="45" t="str">
        <f>IFERROR(MAX(tblRiskRegister15[[#This Row],[Impact to Mission]:[Impact to Obligations]])*tblRiskRegister15[[#This Row],[Expectancy Score]],"")</f>
        <v/>
      </c>
      <c r="L42" s="45" t="str">
        <f>tblRiskRegister15[[#This Row],[Risk Score]]</f>
        <v/>
      </c>
      <c r="M42" s="214"/>
      <c r="N42" s="29">
        <v>3.4</v>
      </c>
      <c r="O42" s="30" t="s">
        <v>101</v>
      </c>
      <c r="P42" s="30" t="s">
        <v>217</v>
      </c>
      <c r="Q42" s="24"/>
      <c r="R42" s="25"/>
      <c r="S42" s="46" t="str">
        <f>IFERROR(VLOOKUP(10*tblRiskRegister15[[#This Row],[Risk Treatment Safeguard Maturity Score]]+tblRiskRegister15[[#This Row],[VCDB Index]],tblHITIndexWeightTable[],4,FALSE),"")</f>
        <v/>
      </c>
      <c r="T42" s="46">
        <f>VLOOKUP(tblRiskRegister15[[#This Row],[Asset Class]],tblImpactIndex17[],2,FALSE)</f>
        <v>0</v>
      </c>
      <c r="U42" s="46">
        <f>VLOOKUP(tblRiskRegister15[[#This Row],[Asset Class]],tblImpactIndex17[],3,FALSE)</f>
        <v>0</v>
      </c>
      <c r="V42" s="46">
        <f>VLOOKUP(tblRiskRegister15[[#This Row],[Asset Class]],tblImpactIndex17[],4,FALSE)</f>
        <v>0</v>
      </c>
      <c r="W42" s="46" t="str">
        <f>IFERROR(MAX(tblRiskRegister15[[#This Row],[Risk Treatment Safeguard Impact to Mission]:[Risk Treatment Safeguard Impact to Obligations]])*tblRiskRegister15[[#This Row],[Risk Treatment
Safeguard Expectancy Score]],"")</f>
        <v/>
      </c>
      <c r="X42" s="46" t="str">
        <f>IF(tblRiskRegister15[[#This Row],[Risk Score]]&gt;5,IF(tblRiskRegister15[[#This Row],[Risk Treatment Safeguard Risk Score]]&lt;6, IF(tblRiskRegister15[[#This Row],[Risk Treatment Safeguard Risk Score]]&lt;=tblRiskRegister15[[#This Row],[Risk Score]],"Yes","No"),"No"),"Yes")</f>
        <v>No</v>
      </c>
      <c r="Y42" s="26"/>
      <c r="Z42" s="26"/>
      <c r="AA42" s="27"/>
      <c r="AC42" s="28">
        <f>SUMIF(tblRiskRegister15[[#All],[Implementation Year]],"="&amp;tblCostImpacts16[[#This Row],[Year]],tblRiskRegister15[[#All],[Risk Treatment Safeguard Cost]])</f>
        <v>0</v>
      </c>
      <c r="AD42" s="13">
        <v>2029</v>
      </c>
      <c r="AE42" s="13" t="str">
        <f>IF(tblCostImpacts16[[#This Row],[Impact to Financial Objectives]]&lt;=$E$12,"Yes","No")</f>
        <v>Yes</v>
      </c>
    </row>
    <row r="43" spans="2:31" ht="25.5" x14ac:dyDescent="0.2">
      <c r="B43" s="29">
        <v>3.5</v>
      </c>
      <c r="C43" s="30" t="s">
        <v>102</v>
      </c>
      <c r="D43" s="30" t="s">
        <v>146</v>
      </c>
      <c r="E43" s="25"/>
      <c r="F43" s="45">
        <f>IFERROR(VLOOKUP(tblRiskRegister15[[#This Row],[Asset Class]],tblVCDBIndex[],4,FALSE),"")</f>
        <v>3</v>
      </c>
      <c r="G43" s="45" t="str">
        <f>IFERROR(VLOOKUP(10*tblRiskRegister15[[#This Row],[Safeguard Maturity Score]]+tblRiskRegister15[[#This Row],[VCDB Index]],tblHITIndexWeightTable[],4,FALSE),"")</f>
        <v/>
      </c>
      <c r="H43" s="45">
        <f>VLOOKUP(tblRiskRegister15[[#This Row],[Asset Class]],tblImpactIndex17[],2,FALSE)</f>
        <v>0</v>
      </c>
      <c r="I43" s="45">
        <f>VLOOKUP(tblRiskRegister15[[#This Row],[Asset Class]],tblImpactIndex17[],3,FALSE)</f>
        <v>0</v>
      </c>
      <c r="J43" s="45">
        <f>VLOOKUP(tblRiskRegister15[[#This Row],[Asset Class]],tblImpactIndex17[],4,FALSE)</f>
        <v>0</v>
      </c>
      <c r="K43" s="45" t="str">
        <f>IFERROR(MAX(tblRiskRegister15[[#This Row],[Impact to Mission]:[Impact to Obligations]])*tblRiskRegister15[[#This Row],[Expectancy Score]],"")</f>
        <v/>
      </c>
      <c r="L43" s="45" t="str">
        <f>tblRiskRegister15[[#This Row],[Risk Score]]</f>
        <v/>
      </c>
      <c r="M43" s="214"/>
      <c r="N43" s="29">
        <v>3.5</v>
      </c>
      <c r="O43" s="30" t="s">
        <v>102</v>
      </c>
      <c r="P43" s="30" t="s">
        <v>218</v>
      </c>
      <c r="Q43" s="24"/>
      <c r="R43" s="25"/>
      <c r="S43" s="46" t="str">
        <f>IFERROR(VLOOKUP(10*tblRiskRegister15[[#This Row],[Risk Treatment Safeguard Maturity Score]]+tblRiskRegister15[[#This Row],[VCDB Index]],tblHITIndexWeightTable[],4,FALSE),"")</f>
        <v/>
      </c>
      <c r="T43" s="46">
        <f>VLOOKUP(tblRiskRegister15[[#This Row],[Asset Class]],tblImpactIndex17[],2,FALSE)</f>
        <v>0</v>
      </c>
      <c r="U43" s="46">
        <f>VLOOKUP(tblRiskRegister15[[#This Row],[Asset Class]],tblImpactIndex17[],3,FALSE)</f>
        <v>0</v>
      </c>
      <c r="V43" s="46">
        <f>VLOOKUP(tblRiskRegister15[[#This Row],[Asset Class]],tblImpactIndex17[],4,FALSE)</f>
        <v>0</v>
      </c>
      <c r="W43" s="46" t="str">
        <f>IFERROR(MAX(tblRiskRegister15[[#This Row],[Risk Treatment Safeguard Impact to Mission]:[Risk Treatment Safeguard Impact to Obligations]])*tblRiskRegister15[[#This Row],[Risk Treatment
Safeguard Expectancy Score]],"")</f>
        <v/>
      </c>
      <c r="X43" s="46" t="str">
        <f>IF(tblRiskRegister15[[#This Row],[Risk Score]]&gt;5,IF(tblRiskRegister15[[#This Row],[Risk Treatment Safeguard Risk Score]]&lt;6, IF(tblRiskRegister15[[#This Row],[Risk Treatment Safeguard Risk Score]]&lt;=tblRiskRegister15[[#This Row],[Risk Score]],"Yes","No"),"No"),"Yes")</f>
        <v>No</v>
      </c>
      <c r="Y43" s="26"/>
      <c r="Z43" s="26"/>
      <c r="AA43" s="27"/>
      <c r="AC43" s="28">
        <f>SUMIF(tblRiskRegister15[[#All],[Implementation Year]],"="&amp;tblCostImpacts16[[#This Row],[Year]],tblRiskRegister15[[#All],[Risk Treatment Safeguard Cost]])</f>
        <v>0</v>
      </c>
      <c r="AD43" s="13">
        <v>2030</v>
      </c>
      <c r="AE43" s="13" t="str">
        <f>IF(tblCostImpacts16[[#This Row],[Impact to Financial Objectives]]&lt;=$E$12,"Yes","No")</f>
        <v>Yes</v>
      </c>
    </row>
    <row r="44" spans="2:31" ht="25.5" x14ac:dyDescent="0.2">
      <c r="B44" s="29">
        <v>3.6</v>
      </c>
      <c r="C44" s="30" t="s">
        <v>103</v>
      </c>
      <c r="D44" s="30" t="s">
        <v>147</v>
      </c>
      <c r="E44" s="25"/>
      <c r="F44" s="45">
        <f>IFERROR(VLOOKUP(tblRiskRegister15[[#This Row],[Asset Class]],tblVCDBIndex[],4,FALSE),"")</f>
        <v>1</v>
      </c>
      <c r="G44" s="45" t="str">
        <f>IFERROR(VLOOKUP(10*tblRiskRegister15[[#This Row],[Safeguard Maturity Score]]+tblRiskRegister15[[#This Row],[VCDB Index]],tblHITIndexWeightTable[],4,FALSE),"")</f>
        <v/>
      </c>
      <c r="H44" s="45">
        <f>VLOOKUP(tblRiskRegister15[[#This Row],[Asset Class]],tblImpactIndex17[],2,FALSE)</f>
        <v>0</v>
      </c>
      <c r="I44" s="45">
        <f>VLOOKUP(tblRiskRegister15[[#This Row],[Asset Class]],tblImpactIndex17[],3,FALSE)</f>
        <v>0</v>
      </c>
      <c r="J44" s="45">
        <f>VLOOKUP(tblRiskRegister15[[#This Row],[Asset Class]],tblImpactIndex17[],4,FALSE)</f>
        <v>0</v>
      </c>
      <c r="K44" s="45" t="str">
        <f>IFERROR(MAX(tblRiskRegister15[[#This Row],[Impact to Mission]:[Impact to Obligations]])*tblRiskRegister15[[#This Row],[Expectancy Score]],"")</f>
        <v/>
      </c>
      <c r="L44" s="45" t="str">
        <f>tblRiskRegister15[[#This Row],[Risk Score]]</f>
        <v/>
      </c>
      <c r="M44" s="214"/>
      <c r="N44" s="29">
        <v>3.6</v>
      </c>
      <c r="O44" s="30" t="s">
        <v>103</v>
      </c>
      <c r="P44" s="30" t="s">
        <v>263</v>
      </c>
      <c r="Q44" s="24"/>
      <c r="R44" s="25"/>
      <c r="S44" s="46" t="str">
        <f>IFERROR(VLOOKUP(10*tblRiskRegister15[[#This Row],[Risk Treatment Safeguard Maturity Score]]+tblRiskRegister15[[#This Row],[VCDB Index]],tblHITIndexWeightTable[],4,FALSE),"")</f>
        <v/>
      </c>
      <c r="T44" s="46">
        <f>VLOOKUP(tblRiskRegister15[[#This Row],[Asset Class]],tblImpactIndex17[],2,FALSE)</f>
        <v>0</v>
      </c>
      <c r="U44" s="46">
        <f>VLOOKUP(tblRiskRegister15[[#This Row],[Asset Class]],tblImpactIndex17[],3,FALSE)</f>
        <v>0</v>
      </c>
      <c r="V44" s="46">
        <f>VLOOKUP(tblRiskRegister15[[#This Row],[Asset Class]],tblImpactIndex17[],4,FALSE)</f>
        <v>0</v>
      </c>
      <c r="W44" s="46" t="str">
        <f>IFERROR(MAX(tblRiskRegister15[[#This Row],[Risk Treatment Safeguard Impact to Mission]:[Risk Treatment Safeguard Impact to Obligations]])*tblRiskRegister15[[#This Row],[Risk Treatment
Safeguard Expectancy Score]],"")</f>
        <v/>
      </c>
      <c r="X44" s="46" t="str">
        <f>IF(tblRiskRegister15[[#This Row],[Risk Score]]&gt;5,IF(tblRiskRegister15[[#This Row],[Risk Treatment Safeguard Risk Score]]&lt;6, IF(tblRiskRegister15[[#This Row],[Risk Treatment Safeguard Risk Score]]&lt;=tblRiskRegister15[[#This Row],[Risk Score]],"Yes","No"),"No"),"Yes")</f>
        <v>No</v>
      </c>
      <c r="Y44" s="26"/>
      <c r="Z44" s="26"/>
      <c r="AA44" s="27"/>
    </row>
    <row r="45" spans="2:31" ht="51" x14ac:dyDescent="0.2">
      <c r="B45" s="29">
        <v>4.0999999999999996</v>
      </c>
      <c r="C45" s="30" t="s">
        <v>104</v>
      </c>
      <c r="D45" s="30" t="s">
        <v>148</v>
      </c>
      <c r="E45" s="25"/>
      <c r="F45" s="45">
        <f>IFERROR(VLOOKUP(tblRiskRegister15[[#This Row],[Asset Class]],tblVCDBIndex[],4,FALSE),"")</f>
        <v>2</v>
      </c>
      <c r="G45" s="45" t="str">
        <f>IFERROR(VLOOKUP(10*tblRiskRegister15[[#This Row],[Safeguard Maturity Score]]+tblRiskRegister15[[#This Row],[VCDB Index]],tblHITIndexWeightTable[],4,FALSE),"")</f>
        <v/>
      </c>
      <c r="H45" s="45">
        <f>VLOOKUP(tblRiskRegister15[[#This Row],[Asset Class]],tblImpactIndex17[],2,FALSE)</f>
        <v>0</v>
      </c>
      <c r="I45" s="45">
        <f>VLOOKUP(tblRiskRegister15[[#This Row],[Asset Class]],tblImpactIndex17[],3,FALSE)</f>
        <v>0</v>
      </c>
      <c r="J45" s="45">
        <f>VLOOKUP(tblRiskRegister15[[#This Row],[Asset Class]],tblImpactIndex17[],4,FALSE)</f>
        <v>0</v>
      </c>
      <c r="K45" s="45" t="str">
        <f>IFERROR(MAX(tblRiskRegister15[[#This Row],[Impact to Mission]:[Impact to Obligations]])*tblRiskRegister15[[#This Row],[Expectancy Score]],"")</f>
        <v/>
      </c>
      <c r="L45" s="45" t="str">
        <f>tblRiskRegister15[[#This Row],[Risk Score]]</f>
        <v/>
      </c>
      <c r="M45" s="214"/>
      <c r="N45" s="29">
        <v>4.0999999999999996</v>
      </c>
      <c r="O45" s="30" t="s">
        <v>104</v>
      </c>
      <c r="P45" s="30" t="s">
        <v>219</v>
      </c>
      <c r="Q45" s="24"/>
      <c r="R45" s="25"/>
      <c r="S45" s="46" t="str">
        <f>IFERROR(VLOOKUP(10*tblRiskRegister15[[#This Row],[Risk Treatment Safeguard Maturity Score]]+tblRiskRegister15[[#This Row],[VCDB Index]],tblHITIndexWeightTable[],4,FALSE),"")</f>
        <v/>
      </c>
      <c r="T45" s="46">
        <f>VLOOKUP(tblRiskRegister15[[#This Row],[Asset Class]],tblImpactIndex17[],2,FALSE)</f>
        <v>0</v>
      </c>
      <c r="U45" s="46">
        <f>VLOOKUP(tblRiskRegister15[[#This Row],[Asset Class]],tblImpactIndex17[],3,FALSE)</f>
        <v>0</v>
      </c>
      <c r="V45" s="46">
        <f>VLOOKUP(tblRiskRegister15[[#This Row],[Asset Class]],tblImpactIndex17[],4,FALSE)</f>
        <v>0</v>
      </c>
      <c r="W45" s="46" t="str">
        <f>IFERROR(MAX(tblRiskRegister15[[#This Row],[Risk Treatment Safeguard Impact to Mission]:[Risk Treatment Safeguard Impact to Obligations]])*tblRiskRegister15[[#This Row],[Risk Treatment
Safeguard Expectancy Score]],"")</f>
        <v/>
      </c>
      <c r="X45" s="46" t="str">
        <f>IF(tblRiskRegister15[[#This Row],[Risk Score]]&gt;5,IF(tblRiskRegister15[[#This Row],[Risk Treatment Safeguard Risk Score]]&lt;6, IF(tblRiskRegister15[[#This Row],[Risk Treatment Safeguard Risk Score]]&lt;=tblRiskRegister15[[#This Row],[Risk Score]],"Yes","No"),"No"),"Yes")</f>
        <v>No</v>
      </c>
      <c r="Y45" s="26"/>
      <c r="Z45" s="26"/>
      <c r="AA45" s="27"/>
    </row>
    <row r="46" spans="2:31" ht="51" x14ac:dyDescent="0.2">
      <c r="B46" s="29">
        <v>4.2</v>
      </c>
      <c r="C46" s="30" t="s">
        <v>105</v>
      </c>
      <c r="D46" s="30" t="s">
        <v>149</v>
      </c>
      <c r="E46" s="25"/>
      <c r="F46" s="45">
        <f>IFERROR(VLOOKUP(tblRiskRegister15[[#This Row],[Asset Class]],tblVCDBIndex[],4,FALSE),"")</f>
        <v>1</v>
      </c>
      <c r="G46" s="45" t="str">
        <f>IFERROR(VLOOKUP(10*tblRiskRegister15[[#This Row],[Safeguard Maturity Score]]+tblRiskRegister15[[#This Row],[VCDB Index]],tblHITIndexWeightTable[],4,FALSE),"")</f>
        <v/>
      </c>
      <c r="H46" s="45">
        <f>VLOOKUP(tblRiskRegister15[[#This Row],[Asset Class]],tblImpactIndex17[],2,FALSE)</f>
        <v>0</v>
      </c>
      <c r="I46" s="45">
        <f>VLOOKUP(tblRiskRegister15[[#This Row],[Asset Class]],tblImpactIndex17[],3,FALSE)</f>
        <v>0</v>
      </c>
      <c r="J46" s="45">
        <f>VLOOKUP(tblRiskRegister15[[#This Row],[Asset Class]],tblImpactIndex17[],4,FALSE)</f>
        <v>0</v>
      </c>
      <c r="K46" s="45" t="str">
        <f>IFERROR(MAX(tblRiskRegister15[[#This Row],[Impact to Mission]:[Impact to Obligations]])*tblRiskRegister15[[#This Row],[Expectancy Score]],"")</f>
        <v/>
      </c>
      <c r="L46" s="45" t="str">
        <f>tblRiskRegister15[[#This Row],[Risk Score]]</f>
        <v/>
      </c>
      <c r="M46" s="214"/>
      <c r="N46" s="29">
        <v>4.2</v>
      </c>
      <c r="O46" s="30" t="s">
        <v>105</v>
      </c>
      <c r="P46" s="30" t="s">
        <v>220</v>
      </c>
      <c r="Q46" s="24"/>
      <c r="R46" s="25"/>
      <c r="S46" s="46" t="str">
        <f>IFERROR(VLOOKUP(10*tblRiskRegister15[[#This Row],[Risk Treatment Safeguard Maturity Score]]+tblRiskRegister15[[#This Row],[VCDB Index]],tblHITIndexWeightTable[],4,FALSE),"")</f>
        <v/>
      </c>
      <c r="T46" s="46">
        <f>VLOOKUP(tblRiskRegister15[[#This Row],[Asset Class]],tblImpactIndex17[],2,FALSE)</f>
        <v>0</v>
      </c>
      <c r="U46" s="46">
        <f>VLOOKUP(tblRiskRegister15[[#This Row],[Asset Class]],tblImpactIndex17[],3,FALSE)</f>
        <v>0</v>
      </c>
      <c r="V46" s="46">
        <f>VLOOKUP(tblRiskRegister15[[#This Row],[Asset Class]],tblImpactIndex17[],4,FALSE)</f>
        <v>0</v>
      </c>
      <c r="W46" s="46" t="str">
        <f>IFERROR(MAX(tblRiskRegister15[[#This Row],[Risk Treatment Safeguard Impact to Mission]:[Risk Treatment Safeguard Impact to Obligations]])*tblRiskRegister15[[#This Row],[Risk Treatment
Safeguard Expectancy Score]],"")</f>
        <v/>
      </c>
      <c r="X46" s="46" t="str">
        <f>IF(tblRiskRegister15[[#This Row],[Risk Score]]&gt;5,IF(tblRiskRegister15[[#This Row],[Risk Treatment Safeguard Risk Score]]&lt;6, IF(tblRiskRegister15[[#This Row],[Risk Treatment Safeguard Risk Score]]&lt;=tblRiskRegister15[[#This Row],[Risk Score]],"Yes","No"),"No"),"Yes")</f>
        <v>No</v>
      </c>
      <c r="Y46" s="26"/>
      <c r="Z46" s="26"/>
      <c r="AA46" s="27"/>
    </row>
    <row r="47" spans="2:31" ht="38.25" x14ac:dyDescent="0.2">
      <c r="B47" s="29">
        <v>4.3</v>
      </c>
      <c r="C47" s="30" t="s">
        <v>106</v>
      </c>
      <c r="D47" s="30" t="s">
        <v>150</v>
      </c>
      <c r="E47" s="25"/>
      <c r="F47" s="45">
        <f>IFERROR(VLOOKUP(tblRiskRegister15[[#This Row],[Asset Class]],tblVCDBIndex[],4,FALSE),"")</f>
        <v>3</v>
      </c>
      <c r="G47" s="45" t="str">
        <f>IFERROR(VLOOKUP(10*tblRiskRegister15[[#This Row],[Safeguard Maturity Score]]+tblRiskRegister15[[#This Row],[VCDB Index]],tblHITIndexWeightTable[],4,FALSE),"")</f>
        <v/>
      </c>
      <c r="H47" s="45">
        <f>VLOOKUP(tblRiskRegister15[[#This Row],[Asset Class]],tblImpactIndex17[],2,FALSE)</f>
        <v>0</v>
      </c>
      <c r="I47" s="45">
        <f>VLOOKUP(tblRiskRegister15[[#This Row],[Asset Class]],tblImpactIndex17[],3,FALSE)</f>
        <v>0</v>
      </c>
      <c r="J47" s="45">
        <f>VLOOKUP(tblRiskRegister15[[#This Row],[Asset Class]],tblImpactIndex17[],4,FALSE)</f>
        <v>0</v>
      </c>
      <c r="K47" s="45" t="str">
        <f>IFERROR(MAX(tblRiskRegister15[[#This Row],[Impact to Mission]:[Impact to Obligations]])*tblRiskRegister15[[#This Row],[Expectancy Score]],"")</f>
        <v/>
      </c>
      <c r="L47" s="45" t="str">
        <f>tblRiskRegister15[[#This Row],[Risk Score]]</f>
        <v/>
      </c>
      <c r="M47" s="214"/>
      <c r="N47" s="29">
        <v>4.3</v>
      </c>
      <c r="O47" s="30" t="s">
        <v>106</v>
      </c>
      <c r="P47" s="30" t="s">
        <v>221</v>
      </c>
      <c r="Q47" s="24"/>
      <c r="R47" s="25"/>
      <c r="S47" s="46" t="str">
        <f>IFERROR(VLOOKUP(10*tblRiskRegister15[[#This Row],[Risk Treatment Safeguard Maturity Score]]+tblRiskRegister15[[#This Row],[VCDB Index]],tblHITIndexWeightTable[],4,FALSE),"")</f>
        <v/>
      </c>
      <c r="T47" s="46">
        <f>VLOOKUP(tblRiskRegister15[[#This Row],[Asset Class]],tblImpactIndex17[],2,FALSE)</f>
        <v>0</v>
      </c>
      <c r="U47" s="46">
        <f>VLOOKUP(tblRiskRegister15[[#This Row],[Asset Class]],tblImpactIndex17[],3,FALSE)</f>
        <v>0</v>
      </c>
      <c r="V47" s="46">
        <f>VLOOKUP(tblRiskRegister15[[#This Row],[Asset Class]],tblImpactIndex17[],4,FALSE)</f>
        <v>0</v>
      </c>
      <c r="W47" s="46" t="str">
        <f>IFERROR(MAX(tblRiskRegister15[[#This Row],[Risk Treatment Safeguard Impact to Mission]:[Risk Treatment Safeguard Impact to Obligations]])*tblRiskRegister15[[#This Row],[Risk Treatment
Safeguard Expectancy Score]],"")</f>
        <v/>
      </c>
      <c r="X47" s="46" t="str">
        <f>IF(tblRiskRegister15[[#This Row],[Risk Score]]&gt;5,IF(tblRiskRegister15[[#This Row],[Risk Treatment Safeguard Risk Score]]&lt;6, IF(tblRiskRegister15[[#This Row],[Risk Treatment Safeguard Risk Score]]&lt;=tblRiskRegister15[[#This Row],[Risk Score]],"Yes","No"),"No"),"Yes")</f>
        <v>No</v>
      </c>
      <c r="Y47" s="26"/>
      <c r="Z47" s="26"/>
      <c r="AA47" s="27"/>
    </row>
    <row r="48" spans="2:31" ht="38.25" x14ac:dyDescent="0.2">
      <c r="B48" s="29">
        <v>4.4000000000000004</v>
      </c>
      <c r="C48" s="30" t="s">
        <v>107</v>
      </c>
      <c r="D48" s="30" t="s">
        <v>147</v>
      </c>
      <c r="E48" s="25"/>
      <c r="F48" s="45">
        <f>IFERROR(VLOOKUP(tblRiskRegister15[[#This Row],[Asset Class]],tblVCDBIndex[],4,FALSE),"")</f>
        <v>1</v>
      </c>
      <c r="G48" s="45" t="str">
        <f>IFERROR(VLOOKUP(10*tblRiskRegister15[[#This Row],[Safeguard Maturity Score]]+tblRiskRegister15[[#This Row],[VCDB Index]],tblHITIndexWeightTable[],4,FALSE),"")</f>
        <v/>
      </c>
      <c r="H48" s="45">
        <f>VLOOKUP(tblRiskRegister15[[#This Row],[Asset Class]],tblImpactIndex17[],2,FALSE)</f>
        <v>0</v>
      </c>
      <c r="I48" s="45">
        <f>VLOOKUP(tblRiskRegister15[[#This Row],[Asset Class]],tblImpactIndex17[],3,FALSE)</f>
        <v>0</v>
      </c>
      <c r="J48" s="45">
        <f>VLOOKUP(tblRiskRegister15[[#This Row],[Asset Class]],tblImpactIndex17[],4,FALSE)</f>
        <v>0</v>
      </c>
      <c r="K48" s="45" t="str">
        <f>IFERROR(MAX(tblRiskRegister15[[#This Row],[Impact to Mission]:[Impact to Obligations]])*tblRiskRegister15[[#This Row],[Expectancy Score]],"")</f>
        <v/>
      </c>
      <c r="L48" s="45" t="str">
        <f>tblRiskRegister15[[#This Row],[Risk Score]]</f>
        <v/>
      </c>
      <c r="M48" s="214"/>
      <c r="N48" s="29">
        <v>4.4000000000000004</v>
      </c>
      <c r="O48" s="30" t="s">
        <v>107</v>
      </c>
      <c r="P48" s="30" t="s">
        <v>222</v>
      </c>
      <c r="Q48" s="24"/>
      <c r="R48" s="25"/>
      <c r="S48" s="46" t="str">
        <f>IFERROR(VLOOKUP(10*tblRiskRegister15[[#This Row],[Risk Treatment Safeguard Maturity Score]]+tblRiskRegister15[[#This Row],[VCDB Index]],tblHITIndexWeightTable[],4,FALSE),"")</f>
        <v/>
      </c>
      <c r="T48" s="46">
        <f>VLOOKUP(tblRiskRegister15[[#This Row],[Asset Class]],tblImpactIndex17[],2,FALSE)</f>
        <v>0</v>
      </c>
      <c r="U48" s="46">
        <f>VLOOKUP(tblRiskRegister15[[#This Row],[Asset Class]],tblImpactIndex17[],3,FALSE)</f>
        <v>0</v>
      </c>
      <c r="V48" s="46">
        <f>VLOOKUP(tblRiskRegister15[[#This Row],[Asset Class]],tblImpactIndex17[],4,FALSE)</f>
        <v>0</v>
      </c>
      <c r="W48" s="46" t="str">
        <f>IFERROR(MAX(tblRiskRegister15[[#This Row],[Risk Treatment Safeguard Impact to Mission]:[Risk Treatment Safeguard Impact to Obligations]])*tblRiskRegister15[[#This Row],[Risk Treatment
Safeguard Expectancy Score]],"")</f>
        <v/>
      </c>
      <c r="X48" s="46" t="str">
        <f>IF(tblRiskRegister15[[#This Row],[Risk Score]]&gt;5,IF(tblRiskRegister15[[#This Row],[Risk Treatment Safeguard Risk Score]]&lt;6, IF(tblRiskRegister15[[#This Row],[Risk Treatment Safeguard Risk Score]]&lt;=tblRiskRegister15[[#This Row],[Risk Score]],"Yes","No"),"No"),"Yes")</f>
        <v>No</v>
      </c>
      <c r="Y48" s="26"/>
      <c r="Z48" s="26"/>
      <c r="AA48" s="27"/>
    </row>
    <row r="49" spans="2:27" ht="38.25" x14ac:dyDescent="0.2">
      <c r="B49" s="29">
        <v>4.5</v>
      </c>
      <c r="C49" s="30" t="s">
        <v>108</v>
      </c>
      <c r="D49" s="30" t="s">
        <v>147</v>
      </c>
      <c r="E49" s="25"/>
      <c r="F49" s="45">
        <f>IFERROR(VLOOKUP(tblRiskRegister15[[#This Row],[Asset Class]],tblVCDBIndex[],4,FALSE),"")</f>
        <v>1</v>
      </c>
      <c r="G49" s="45" t="str">
        <f>IFERROR(VLOOKUP(10*tblRiskRegister15[[#This Row],[Safeguard Maturity Score]]+tblRiskRegister15[[#This Row],[VCDB Index]],tblHITIndexWeightTable[],4,FALSE),"")</f>
        <v/>
      </c>
      <c r="H49" s="45">
        <f>VLOOKUP(tblRiskRegister15[[#This Row],[Asset Class]],tblImpactIndex17[],2,FALSE)</f>
        <v>0</v>
      </c>
      <c r="I49" s="45">
        <f>VLOOKUP(tblRiskRegister15[[#This Row],[Asset Class]],tblImpactIndex17[],3,FALSE)</f>
        <v>0</v>
      </c>
      <c r="J49" s="45">
        <f>VLOOKUP(tblRiskRegister15[[#This Row],[Asset Class]],tblImpactIndex17[],4,FALSE)</f>
        <v>0</v>
      </c>
      <c r="K49" s="45" t="str">
        <f>IFERROR(MAX(tblRiskRegister15[[#This Row],[Impact to Mission]:[Impact to Obligations]])*tblRiskRegister15[[#This Row],[Expectancy Score]],"")</f>
        <v/>
      </c>
      <c r="L49" s="45" t="str">
        <f>tblRiskRegister15[[#This Row],[Risk Score]]</f>
        <v/>
      </c>
      <c r="M49" s="214"/>
      <c r="N49" s="29">
        <v>4.5</v>
      </c>
      <c r="O49" s="30" t="s">
        <v>108</v>
      </c>
      <c r="P49" s="30" t="s">
        <v>223</v>
      </c>
      <c r="Q49" s="24"/>
      <c r="R49" s="25"/>
      <c r="S49" s="46" t="str">
        <f>IFERROR(VLOOKUP(10*tblRiskRegister15[[#This Row],[Risk Treatment Safeguard Maturity Score]]+tblRiskRegister15[[#This Row],[VCDB Index]],tblHITIndexWeightTable[],4,FALSE),"")</f>
        <v/>
      </c>
      <c r="T49" s="46">
        <f>VLOOKUP(tblRiskRegister15[[#This Row],[Asset Class]],tblImpactIndex17[],2,FALSE)</f>
        <v>0</v>
      </c>
      <c r="U49" s="46">
        <f>VLOOKUP(tblRiskRegister15[[#This Row],[Asset Class]],tblImpactIndex17[],3,FALSE)</f>
        <v>0</v>
      </c>
      <c r="V49" s="46">
        <f>VLOOKUP(tblRiskRegister15[[#This Row],[Asset Class]],tblImpactIndex17[],4,FALSE)</f>
        <v>0</v>
      </c>
      <c r="W49" s="46" t="str">
        <f>IFERROR(MAX(tblRiskRegister15[[#This Row],[Risk Treatment Safeguard Impact to Mission]:[Risk Treatment Safeguard Impact to Obligations]])*tblRiskRegister15[[#This Row],[Risk Treatment
Safeguard Expectancy Score]],"")</f>
        <v/>
      </c>
      <c r="X49" s="46" t="str">
        <f>IF(tblRiskRegister15[[#This Row],[Risk Score]]&gt;5,IF(tblRiskRegister15[[#This Row],[Risk Treatment Safeguard Risk Score]]&lt;6, IF(tblRiskRegister15[[#This Row],[Risk Treatment Safeguard Risk Score]]&lt;=tblRiskRegister15[[#This Row],[Risk Score]],"Yes","No"),"No"),"Yes")</f>
        <v>No</v>
      </c>
      <c r="Y49" s="26"/>
      <c r="Z49" s="26"/>
      <c r="AA49" s="27"/>
    </row>
    <row r="50" spans="2:27" ht="63.75" x14ac:dyDescent="0.2">
      <c r="B50" s="29">
        <v>4.5999999999999996</v>
      </c>
      <c r="C50" s="30" t="s">
        <v>109</v>
      </c>
      <c r="D50" s="30" t="s">
        <v>149</v>
      </c>
      <c r="E50" s="25"/>
      <c r="F50" s="45">
        <f>IFERROR(VLOOKUP(tblRiskRegister15[[#This Row],[Asset Class]],tblVCDBIndex[],4,FALSE),"")</f>
        <v>1</v>
      </c>
      <c r="G50" s="45" t="str">
        <f>IFERROR(VLOOKUP(10*tblRiskRegister15[[#This Row],[Safeguard Maturity Score]]+tblRiskRegister15[[#This Row],[VCDB Index]],tblHITIndexWeightTable[],4,FALSE),"")</f>
        <v/>
      </c>
      <c r="H50" s="45">
        <f>VLOOKUP(tblRiskRegister15[[#This Row],[Asset Class]],tblImpactIndex17[],2,FALSE)</f>
        <v>0</v>
      </c>
      <c r="I50" s="45">
        <f>VLOOKUP(tblRiskRegister15[[#This Row],[Asset Class]],tblImpactIndex17[],3,FALSE)</f>
        <v>0</v>
      </c>
      <c r="J50" s="45">
        <f>VLOOKUP(tblRiskRegister15[[#This Row],[Asset Class]],tblImpactIndex17[],4,FALSE)</f>
        <v>0</v>
      </c>
      <c r="K50" s="45" t="str">
        <f>IFERROR(MAX(tblRiskRegister15[[#This Row],[Impact to Mission]:[Impact to Obligations]])*tblRiskRegister15[[#This Row],[Expectancy Score]],"")</f>
        <v/>
      </c>
      <c r="L50" s="45" t="str">
        <f>tblRiskRegister15[[#This Row],[Risk Score]]</f>
        <v/>
      </c>
      <c r="M50" s="214"/>
      <c r="N50" s="29">
        <v>4.5999999999999996</v>
      </c>
      <c r="O50" s="30" t="s">
        <v>109</v>
      </c>
      <c r="P50" s="30" t="s">
        <v>224</v>
      </c>
      <c r="Q50" s="24"/>
      <c r="R50" s="25"/>
      <c r="S50" s="46" t="str">
        <f>IFERROR(VLOOKUP(10*tblRiskRegister15[[#This Row],[Risk Treatment Safeguard Maturity Score]]+tblRiskRegister15[[#This Row],[VCDB Index]],tblHITIndexWeightTable[],4,FALSE),"")</f>
        <v/>
      </c>
      <c r="T50" s="46">
        <f>VLOOKUP(tblRiskRegister15[[#This Row],[Asset Class]],tblImpactIndex17[],2,FALSE)</f>
        <v>0</v>
      </c>
      <c r="U50" s="46">
        <f>VLOOKUP(tblRiskRegister15[[#This Row],[Asset Class]],tblImpactIndex17[],3,FALSE)</f>
        <v>0</v>
      </c>
      <c r="V50" s="46">
        <f>VLOOKUP(tblRiskRegister15[[#This Row],[Asset Class]],tblImpactIndex17[],4,FALSE)</f>
        <v>0</v>
      </c>
      <c r="W50" s="46" t="str">
        <f>IFERROR(MAX(tblRiskRegister15[[#This Row],[Risk Treatment Safeguard Impact to Mission]:[Risk Treatment Safeguard Impact to Obligations]])*tblRiskRegister15[[#This Row],[Risk Treatment
Safeguard Expectancy Score]],"")</f>
        <v/>
      </c>
      <c r="X50" s="46" t="str">
        <f>IF(tblRiskRegister15[[#This Row],[Risk Score]]&gt;5,IF(tblRiskRegister15[[#This Row],[Risk Treatment Safeguard Risk Score]]&lt;6, IF(tblRiskRegister15[[#This Row],[Risk Treatment Safeguard Risk Score]]&lt;=tblRiskRegister15[[#This Row],[Risk Score]],"Yes","No"),"No"),"Yes")</f>
        <v>No</v>
      </c>
      <c r="Y50" s="26"/>
      <c r="Z50" s="26"/>
      <c r="AA50" s="27"/>
    </row>
    <row r="51" spans="2:27" ht="38.25" x14ac:dyDescent="0.2">
      <c r="B51" s="29">
        <v>4.7</v>
      </c>
      <c r="C51" s="30" t="s">
        <v>110</v>
      </c>
      <c r="D51" s="30" t="s">
        <v>150</v>
      </c>
      <c r="E51" s="25"/>
      <c r="F51" s="45">
        <f>IFERROR(VLOOKUP(tblRiskRegister15[[#This Row],[Asset Class]],tblVCDBIndex[],4,FALSE),"")</f>
        <v>3</v>
      </c>
      <c r="G51" s="45" t="str">
        <f>IFERROR(VLOOKUP(10*tblRiskRegister15[[#This Row],[Safeguard Maturity Score]]+tblRiskRegister15[[#This Row],[VCDB Index]],tblHITIndexWeightTable[],4,FALSE),"")</f>
        <v/>
      </c>
      <c r="H51" s="45">
        <f>VLOOKUP(tblRiskRegister15[[#This Row],[Asset Class]],tblImpactIndex17[],2,FALSE)</f>
        <v>0</v>
      </c>
      <c r="I51" s="45">
        <f>VLOOKUP(tblRiskRegister15[[#This Row],[Asset Class]],tblImpactIndex17[],3,FALSE)</f>
        <v>0</v>
      </c>
      <c r="J51" s="45">
        <f>VLOOKUP(tblRiskRegister15[[#This Row],[Asset Class]],tblImpactIndex17[],4,FALSE)</f>
        <v>0</v>
      </c>
      <c r="K51" s="45" t="str">
        <f>IFERROR(MAX(tblRiskRegister15[[#This Row],[Impact to Mission]:[Impact to Obligations]])*tblRiskRegister15[[#This Row],[Expectancy Score]],"")</f>
        <v/>
      </c>
      <c r="L51" s="45" t="str">
        <f>tblRiskRegister15[[#This Row],[Risk Score]]</f>
        <v/>
      </c>
      <c r="M51" s="214"/>
      <c r="N51" s="29">
        <v>4.7</v>
      </c>
      <c r="O51" s="30" t="s">
        <v>110</v>
      </c>
      <c r="P51" s="30" t="s">
        <v>225</v>
      </c>
      <c r="Q51" s="24"/>
      <c r="R51" s="25"/>
      <c r="S51" s="46" t="str">
        <f>IFERROR(VLOOKUP(10*tblRiskRegister15[[#This Row],[Risk Treatment Safeguard Maturity Score]]+tblRiskRegister15[[#This Row],[VCDB Index]],tblHITIndexWeightTable[],4,FALSE),"")</f>
        <v/>
      </c>
      <c r="T51" s="46">
        <f>VLOOKUP(tblRiskRegister15[[#This Row],[Asset Class]],tblImpactIndex17[],2,FALSE)</f>
        <v>0</v>
      </c>
      <c r="U51" s="46">
        <f>VLOOKUP(tblRiskRegister15[[#This Row],[Asset Class]],tblImpactIndex17[],3,FALSE)</f>
        <v>0</v>
      </c>
      <c r="V51" s="46">
        <f>VLOOKUP(tblRiskRegister15[[#This Row],[Asset Class]],tblImpactIndex17[],4,FALSE)</f>
        <v>0</v>
      </c>
      <c r="W51" s="46" t="str">
        <f>IFERROR(MAX(tblRiskRegister15[[#This Row],[Risk Treatment Safeguard Impact to Mission]:[Risk Treatment Safeguard Impact to Obligations]])*tblRiskRegister15[[#This Row],[Risk Treatment
Safeguard Expectancy Score]],"")</f>
        <v/>
      </c>
      <c r="X51" s="46" t="str">
        <f>IF(tblRiskRegister15[[#This Row],[Risk Score]]&gt;5,IF(tblRiskRegister15[[#This Row],[Risk Treatment Safeguard Risk Score]]&lt;6, IF(tblRiskRegister15[[#This Row],[Risk Treatment Safeguard Risk Score]]&lt;=tblRiskRegister15[[#This Row],[Risk Score]],"Yes","No"),"No"),"Yes")</f>
        <v>No</v>
      </c>
      <c r="Y51" s="26"/>
      <c r="Z51" s="26"/>
      <c r="AA51" s="27"/>
    </row>
    <row r="52" spans="2:27" ht="63.75" x14ac:dyDescent="0.2">
      <c r="B52" s="29">
        <v>5.0999999999999996</v>
      </c>
      <c r="C52" s="30" t="s">
        <v>111</v>
      </c>
      <c r="D52" s="30" t="s">
        <v>150</v>
      </c>
      <c r="E52" s="25"/>
      <c r="F52" s="45">
        <f>IFERROR(VLOOKUP(tblRiskRegister15[[#This Row],[Asset Class]],tblVCDBIndex[],4,FALSE),"")</f>
        <v>3</v>
      </c>
      <c r="G52" s="45" t="str">
        <f>IFERROR(VLOOKUP(10*tblRiskRegister15[[#This Row],[Safeguard Maturity Score]]+tblRiskRegister15[[#This Row],[VCDB Index]],tblHITIndexWeightTable[],4,FALSE),"")</f>
        <v/>
      </c>
      <c r="H52" s="45">
        <f>VLOOKUP(tblRiskRegister15[[#This Row],[Asset Class]],tblImpactIndex17[],2,FALSE)</f>
        <v>0</v>
      </c>
      <c r="I52" s="45">
        <f>VLOOKUP(tblRiskRegister15[[#This Row],[Asset Class]],tblImpactIndex17[],3,FALSE)</f>
        <v>0</v>
      </c>
      <c r="J52" s="45">
        <f>VLOOKUP(tblRiskRegister15[[#This Row],[Asset Class]],tblImpactIndex17[],4,FALSE)</f>
        <v>0</v>
      </c>
      <c r="K52" s="45" t="str">
        <f>IFERROR(MAX(tblRiskRegister15[[#This Row],[Impact to Mission]:[Impact to Obligations]])*tblRiskRegister15[[#This Row],[Expectancy Score]],"")</f>
        <v/>
      </c>
      <c r="L52" s="45" t="str">
        <f>tblRiskRegister15[[#This Row],[Risk Score]]</f>
        <v/>
      </c>
      <c r="M52" s="214"/>
      <c r="N52" s="29">
        <v>5.0999999999999996</v>
      </c>
      <c r="O52" s="30" t="s">
        <v>111</v>
      </c>
      <c r="P52" s="30" t="s">
        <v>226</v>
      </c>
      <c r="Q52" s="24"/>
      <c r="R52" s="25"/>
      <c r="S52" s="46" t="str">
        <f>IFERROR(VLOOKUP(10*tblRiskRegister15[[#This Row],[Risk Treatment Safeguard Maturity Score]]+tblRiskRegister15[[#This Row],[VCDB Index]],tblHITIndexWeightTable[],4,FALSE),"")</f>
        <v/>
      </c>
      <c r="T52" s="46">
        <f>VLOOKUP(tblRiskRegister15[[#This Row],[Asset Class]],tblImpactIndex17[],2,FALSE)</f>
        <v>0</v>
      </c>
      <c r="U52" s="46">
        <f>VLOOKUP(tblRiskRegister15[[#This Row],[Asset Class]],tblImpactIndex17[],3,FALSE)</f>
        <v>0</v>
      </c>
      <c r="V52" s="46">
        <f>VLOOKUP(tblRiskRegister15[[#This Row],[Asset Class]],tblImpactIndex17[],4,FALSE)</f>
        <v>0</v>
      </c>
      <c r="W52" s="46" t="str">
        <f>IFERROR(MAX(tblRiskRegister15[[#This Row],[Risk Treatment Safeguard Impact to Mission]:[Risk Treatment Safeguard Impact to Obligations]])*tblRiskRegister15[[#This Row],[Risk Treatment
Safeguard Expectancy Score]],"")</f>
        <v/>
      </c>
      <c r="X52" s="46" t="str">
        <f>IF(tblRiskRegister15[[#This Row],[Risk Score]]&gt;5,IF(tblRiskRegister15[[#This Row],[Risk Treatment Safeguard Risk Score]]&lt;6, IF(tblRiskRegister15[[#This Row],[Risk Treatment Safeguard Risk Score]]&lt;=tblRiskRegister15[[#This Row],[Risk Score]],"Yes","No"),"No"),"Yes")</f>
        <v>No</v>
      </c>
      <c r="Y52" s="26"/>
      <c r="Z52" s="26"/>
      <c r="AA52" s="27"/>
    </row>
    <row r="53" spans="2:27" ht="38.25" x14ac:dyDescent="0.2">
      <c r="B53" s="29">
        <v>5.2</v>
      </c>
      <c r="C53" s="30" t="s">
        <v>23</v>
      </c>
      <c r="D53" s="30" t="s">
        <v>150</v>
      </c>
      <c r="E53" s="25"/>
      <c r="F53" s="45">
        <f>IFERROR(VLOOKUP(tblRiskRegister15[[#This Row],[Asset Class]],tblVCDBIndex[],4,FALSE),"")</f>
        <v>3</v>
      </c>
      <c r="G53" s="45" t="str">
        <f>IFERROR(VLOOKUP(10*tblRiskRegister15[[#This Row],[Safeguard Maturity Score]]+tblRiskRegister15[[#This Row],[VCDB Index]],tblHITIndexWeightTable[],4,FALSE),"")</f>
        <v/>
      </c>
      <c r="H53" s="45">
        <f>VLOOKUP(tblRiskRegister15[[#This Row],[Asset Class]],tblImpactIndex17[],2,FALSE)</f>
        <v>0</v>
      </c>
      <c r="I53" s="45">
        <f>VLOOKUP(tblRiskRegister15[[#This Row],[Asset Class]],tblImpactIndex17[],3,FALSE)</f>
        <v>0</v>
      </c>
      <c r="J53" s="45">
        <f>VLOOKUP(tblRiskRegister15[[#This Row],[Asset Class]],tblImpactIndex17[],4,FALSE)</f>
        <v>0</v>
      </c>
      <c r="K53" s="45" t="str">
        <f>IFERROR(MAX(tblRiskRegister15[[#This Row],[Impact to Mission]:[Impact to Obligations]])*tblRiskRegister15[[#This Row],[Expectancy Score]],"")</f>
        <v/>
      </c>
      <c r="L53" s="45" t="str">
        <f>tblRiskRegister15[[#This Row],[Risk Score]]</f>
        <v/>
      </c>
      <c r="M53" s="214"/>
      <c r="N53" s="29">
        <v>5.2</v>
      </c>
      <c r="O53" s="30" t="s">
        <v>23</v>
      </c>
      <c r="P53" s="30" t="s">
        <v>227</v>
      </c>
      <c r="Q53" s="24"/>
      <c r="R53" s="25"/>
      <c r="S53" s="46" t="str">
        <f>IFERROR(VLOOKUP(10*tblRiskRegister15[[#This Row],[Risk Treatment Safeguard Maturity Score]]+tblRiskRegister15[[#This Row],[VCDB Index]],tblHITIndexWeightTable[],4,FALSE),"")</f>
        <v/>
      </c>
      <c r="T53" s="46">
        <f>VLOOKUP(tblRiskRegister15[[#This Row],[Asset Class]],tblImpactIndex17[],2,FALSE)</f>
        <v>0</v>
      </c>
      <c r="U53" s="46">
        <f>VLOOKUP(tblRiskRegister15[[#This Row],[Asset Class]],tblImpactIndex17[],3,FALSE)</f>
        <v>0</v>
      </c>
      <c r="V53" s="46">
        <f>VLOOKUP(tblRiskRegister15[[#This Row],[Asset Class]],tblImpactIndex17[],4,FALSE)</f>
        <v>0</v>
      </c>
      <c r="W53" s="46" t="str">
        <f>IFERROR(MAX(tblRiskRegister15[[#This Row],[Risk Treatment Safeguard Impact to Mission]:[Risk Treatment Safeguard Impact to Obligations]])*tblRiskRegister15[[#This Row],[Risk Treatment
Safeguard Expectancy Score]],"")</f>
        <v/>
      </c>
      <c r="X53" s="46" t="str">
        <f>IF(tblRiskRegister15[[#This Row],[Risk Score]]&gt;5,IF(tblRiskRegister15[[#This Row],[Risk Treatment Safeguard Risk Score]]&lt;6, IF(tblRiskRegister15[[#This Row],[Risk Treatment Safeguard Risk Score]]&lt;=tblRiskRegister15[[#This Row],[Risk Score]],"Yes","No"),"No"),"Yes")</f>
        <v>No</v>
      </c>
      <c r="Y53" s="26"/>
      <c r="Z53" s="26"/>
      <c r="AA53" s="27"/>
    </row>
    <row r="54" spans="2:27" ht="25.5" x14ac:dyDescent="0.2">
      <c r="B54" s="29">
        <v>5.3</v>
      </c>
      <c r="C54" s="30" t="s">
        <v>34</v>
      </c>
      <c r="D54" s="30" t="s">
        <v>150</v>
      </c>
      <c r="E54" s="25"/>
      <c r="F54" s="45">
        <f>IFERROR(VLOOKUP(tblRiskRegister15[[#This Row],[Asset Class]],tblVCDBIndex[],4,FALSE),"")</f>
        <v>3</v>
      </c>
      <c r="G54" s="45" t="str">
        <f>IFERROR(VLOOKUP(10*tblRiskRegister15[[#This Row],[Safeguard Maturity Score]]+tblRiskRegister15[[#This Row],[VCDB Index]],tblHITIndexWeightTable[],4,FALSE),"")</f>
        <v/>
      </c>
      <c r="H54" s="45">
        <f>VLOOKUP(tblRiskRegister15[[#This Row],[Asset Class]],tblImpactIndex17[],2,FALSE)</f>
        <v>0</v>
      </c>
      <c r="I54" s="45">
        <f>VLOOKUP(tblRiskRegister15[[#This Row],[Asset Class]],tblImpactIndex17[],3,FALSE)</f>
        <v>0</v>
      </c>
      <c r="J54" s="45">
        <f>VLOOKUP(tblRiskRegister15[[#This Row],[Asset Class]],tblImpactIndex17[],4,FALSE)</f>
        <v>0</v>
      </c>
      <c r="K54" s="45" t="str">
        <f>IFERROR(MAX(tblRiskRegister15[[#This Row],[Impact to Mission]:[Impact to Obligations]])*tblRiskRegister15[[#This Row],[Expectancy Score]],"")</f>
        <v/>
      </c>
      <c r="L54" s="45" t="str">
        <f>tblRiskRegister15[[#This Row],[Risk Score]]</f>
        <v/>
      </c>
      <c r="M54" s="214"/>
      <c r="N54" s="29">
        <v>5.3</v>
      </c>
      <c r="O54" s="30" t="s">
        <v>34</v>
      </c>
      <c r="P54" s="30" t="s">
        <v>228</v>
      </c>
      <c r="Q54" s="24"/>
      <c r="R54" s="25"/>
      <c r="S54" s="46" t="str">
        <f>IFERROR(VLOOKUP(10*tblRiskRegister15[[#This Row],[Risk Treatment Safeguard Maturity Score]]+tblRiskRegister15[[#This Row],[VCDB Index]],tblHITIndexWeightTable[],4,FALSE),"")</f>
        <v/>
      </c>
      <c r="T54" s="46">
        <f>VLOOKUP(tblRiskRegister15[[#This Row],[Asset Class]],tblImpactIndex17[],2,FALSE)</f>
        <v>0</v>
      </c>
      <c r="U54" s="46">
        <f>VLOOKUP(tblRiskRegister15[[#This Row],[Asset Class]],tblImpactIndex17[],3,FALSE)</f>
        <v>0</v>
      </c>
      <c r="V54" s="46">
        <f>VLOOKUP(tblRiskRegister15[[#This Row],[Asset Class]],tblImpactIndex17[],4,FALSE)</f>
        <v>0</v>
      </c>
      <c r="W54" s="46" t="str">
        <f>IFERROR(MAX(tblRiskRegister15[[#This Row],[Risk Treatment Safeguard Impact to Mission]:[Risk Treatment Safeguard Impact to Obligations]])*tblRiskRegister15[[#This Row],[Risk Treatment
Safeguard Expectancy Score]],"")</f>
        <v/>
      </c>
      <c r="X54" s="46" t="str">
        <f>IF(tblRiskRegister15[[#This Row],[Risk Score]]&gt;5,IF(tblRiskRegister15[[#This Row],[Risk Treatment Safeguard Risk Score]]&lt;6, IF(tblRiskRegister15[[#This Row],[Risk Treatment Safeguard Risk Score]]&lt;=tblRiskRegister15[[#This Row],[Risk Score]],"Yes","No"),"No"),"Yes")</f>
        <v>No</v>
      </c>
      <c r="Y54" s="26"/>
      <c r="Z54" s="26"/>
      <c r="AA54" s="27"/>
    </row>
    <row r="55" spans="2:27" ht="38.25" x14ac:dyDescent="0.2">
      <c r="B55" s="29">
        <v>5.4</v>
      </c>
      <c r="C55" s="30" t="s">
        <v>112</v>
      </c>
      <c r="D55" s="30" t="s">
        <v>150</v>
      </c>
      <c r="E55" s="25"/>
      <c r="F55" s="45">
        <f>IFERROR(VLOOKUP(tblRiskRegister15[[#This Row],[Asset Class]],tblVCDBIndex[],4,FALSE),"")</f>
        <v>3</v>
      </c>
      <c r="G55" s="45" t="str">
        <f>IFERROR(VLOOKUP(10*tblRiskRegister15[[#This Row],[Safeguard Maturity Score]]+tblRiskRegister15[[#This Row],[VCDB Index]],tblHITIndexWeightTable[],4,FALSE),"")</f>
        <v/>
      </c>
      <c r="H55" s="45">
        <f>VLOOKUP(tblRiskRegister15[[#This Row],[Asset Class]],tblImpactIndex17[],2,FALSE)</f>
        <v>0</v>
      </c>
      <c r="I55" s="45">
        <f>VLOOKUP(tblRiskRegister15[[#This Row],[Asset Class]],tblImpactIndex17[],3,FALSE)</f>
        <v>0</v>
      </c>
      <c r="J55" s="45">
        <f>VLOOKUP(tblRiskRegister15[[#This Row],[Asset Class]],tblImpactIndex17[],4,FALSE)</f>
        <v>0</v>
      </c>
      <c r="K55" s="45" t="str">
        <f>IFERROR(MAX(tblRiskRegister15[[#This Row],[Impact to Mission]:[Impact to Obligations]])*tblRiskRegister15[[#This Row],[Expectancy Score]],"")</f>
        <v/>
      </c>
      <c r="L55" s="45" t="str">
        <f>tblRiskRegister15[[#This Row],[Risk Score]]</f>
        <v/>
      </c>
      <c r="M55" s="214"/>
      <c r="N55" s="29">
        <v>5.4</v>
      </c>
      <c r="O55" s="30" t="s">
        <v>112</v>
      </c>
      <c r="P55" s="30" t="s">
        <v>229</v>
      </c>
      <c r="Q55" s="24"/>
      <c r="R55" s="25"/>
      <c r="S55" s="46" t="str">
        <f>IFERROR(VLOOKUP(10*tblRiskRegister15[[#This Row],[Risk Treatment Safeguard Maturity Score]]+tblRiskRegister15[[#This Row],[VCDB Index]],tblHITIndexWeightTable[],4,FALSE),"")</f>
        <v/>
      </c>
      <c r="T55" s="46">
        <f>VLOOKUP(tblRiskRegister15[[#This Row],[Asset Class]],tblImpactIndex17[],2,FALSE)</f>
        <v>0</v>
      </c>
      <c r="U55" s="46">
        <f>VLOOKUP(tblRiskRegister15[[#This Row],[Asset Class]],tblImpactIndex17[],3,FALSE)</f>
        <v>0</v>
      </c>
      <c r="V55" s="46">
        <f>VLOOKUP(tblRiskRegister15[[#This Row],[Asset Class]],tblImpactIndex17[],4,FALSE)</f>
        <v>0</v>
      </c>
      <c r="W55" s="46" t="str">
        <f>IFERROR(MAX(tblRiskRegister15[[#This Row],[Risk Treatment Safeguard Impact to Mission]:[Risk Treatment Safeguard Impact to Obligations]])*tblRiskRegister15[[#This Row],[Risk Treatment
Safeguard Expectancy Score]],"")</f>
        <v/>
      </c>
      <c r="X55" s="46" t="str">
        <f>IF(tblRiskRegister15[[#This Row],[Risk Score]]&gt;5,IF(tblRiskRegister15[[#This Row],[Risk Treatment Safeguard Risk Score]]&lt;6, IF(tblRiskRegister15[[#This Row],[Risk Treatment Safeguard Risk Score]]&lt;=tblRiskRegister15[[#This Row],[Risk Score]],"Yes","No"),"No"),"Yes")</f>
        <v>No</v>
      </c>
      <c r="Y55" s="26"/>
      <c r="Z55" s="26"/>
      <c r="AA55" s="27"/>
    </row>
    <row r="56" spans="2:27" ht="25.5" x14ac:dyDescent="0.2">
      <c r="B56" s="29">
        <v>6.1</v>
      </c>
      <c r="C56" s="30" t="s">
        <v>113</v>
      </c>
      <c r="D56" s="30" t="s">
        <v>150</v>
      </c>
      <c r="E56" s="25"/>
      <c r="F56" s="45">
        <f>IFERROR(VLOOKUP(tblRiskRegister15[[#This Row],[Asset Class]],tblVCDBIndex[],4,FALSE),"")</f>
        <v>3</v>
      </c>
      <c r="G56" s="45" t="str">
        <f>IFERROR(VLOOKUP(10*tblRiskRegister15[[#This Row],[Safeguard Maturity Score]]+tblRiskRegister15[[#This Row],[VCDB Index]],tblHITIndexWeightTable[],4,FALSE),"")</f>
        <v/>
      </c>
      <c r="H56" s="45">
        <f>VLOOKUP(tblRiskRegister15[[#This Row],[Asset Class]],tblImpactIndex17[],2,FALSE)</f>
        <v>0</v>
      </c>
      <c r="I56" s="45">
        <f>VLOOKUP(tblRiskRegister15[[#This Row],[Asset Class]],tblImpactIndex17[],3,FALSE)</f>
        <v>0</v>
      </c>
      <c r="J56" s="45">
        <f>VLOOKUP(tblRiskRegister15[[#This Row],[Asset Class]],tblImpactIndex17[],4,FALSE)</f>
        <v>0</v>
      </c>
      <c r="K56" s="45" t="str">
        <f>IFERROR(MAX(tblRiskRegister15[[#This Row],[Impact to Mission]:[Impact to Obligations]])*tblRiskRegister15[[#This Row],[Expectancy Score]],"")</f>
        <v/>
      </c>
      <c r="L56" s="45" t="str">
        <f>tblRiskRegister15[[#This Row],[Risk Score]]</f>
        <v/>
      </c>
      <c r="M56" s="214"/>
      <c r="N56" s="29">
        <v>6.1</v>
      </c>
      <c r="O56" s="30" t="s">
        <v>113</v>
      </c>
      <c r="P56" s="30" t="s">
        <v>230</v>
      </c>
      <c r="Q56" s="24"/>
      <c r="R56" s="25"/>
      <c r="S56" s="46" t="str">
        <f>IFERROR(VLOOKUP(10*tblRiskRegister15[[#This Row],[Risk Treatment Safeguard Maturity Score]]+tblRiskRegister15[[#This Row],[VCDB Index]],tblHITIndexWeightTable[],4,FALSE),"")</f>
        <v/>
      </c>
      <c r="T56" s="46">
        <f>VLOOKUP(tblRiskRegister15[[#This Row],[Asset Class]],tblImpactIndex17[],2,FALSE)</f>
        <v>0</v>
      </c>
      <c r="U56" s="46">
        <f>VLOOKUP(tblRiskRegister15[[#This Row],[Asset Class]],tblImpactIndex17[],3,FALSE)</f>
        <v>0</v>
      </c>
      <c r="V56" s="46">
        <f>VLOOKUP(tblRiskRegister15[[#This Row],[Asset Class]],tblImpactIndex17[],4,FALSE)</f>
        <v>0</v>
      </c>
      <c r="W56" s="46" t="str">
        <f>IFERROR(MAX(tblRiskRegister15[[#This Row],[Risk Treatment Safeguard Impact to Mission]:[Risk Treatment Safeguard Impact to Obligations]])*tblRiskRegister15[[#This Row],[Risk Treatment
Safeguard Expectancy Score]],"")</f>
        <v/>
      </c>
      <c r="X56" s="46" t="str">
        <f>IF(tblRiskRegister15[[#This Row],[Risk Score]]&gt;5,IF(tblRiskRegister15[[#This Row],[Risk Treatment Safeguard Risk Score]]&lt;6, IF(tblRiskRegister15[[#This Row],[Risk Treatment Safeguard Risk Score]]&lt;=tblRiskRegister15[[#This Row],[Risk Score]],"Yes","No"),"No"),"Yes")</f>
        <v>No</v>
      </c>
      <c r="Y56" s="26"/>
      <c r="Z56" s="26"/>
      <c r="AA56" s="27"/>
    </row>
    <row r="57" spans="2:27" ht="51" x14ac:dyDescent="0.2">
      <c r="B57" s="29">
        <v>6.2</v>
      </c>
      <c r="C57" s="30" t="s">
        <v>114</v>
      </c>
      <c r="D57" s="30" t="s">
        <v>150</v>
      </c>
      <c r="E57" s="25"/>
      <c r="F57" s="45">
        <f>IFERROR(VLOOKUP(tblRiskRegister15[[#This Row],[Asset Class]],tblVCDBIndex[],4,FALSE),"")</f>
        <v>3</v>
      </c>
      <c r="G57" s="45" t="str">
        <f>IFERROR(VLOOKUP(10*tblRiskRegister15[[#This Row],[Safeguard Maturity Score]]+tblRiskRegister15[[#This Row],[VCDB Index]],tblHITIndexWeightTable[],4,FALSE),"")</f>
        <v/>
      </c>
      <c r="H57" s="45">
        <f>VLOOKUP(tblRiskRegister15[[#This Row],[Asset Class]],tblImpactIndex17[],2,FALSE)</f>
        <v>0</v>
      </c>
      <c r="I57" s="45">
        <f>VLOOKUP(tblRiskRegister15[[#This Row],[Asset Class]],tblImpactIndex17[],3,FALSE)</f>
        <v>0</v>
      </c>
      <c r="J57" s="45">
        <f>VLOOKUP(tblRiskRegister15[[#This Row],[Asset Class]],tblImpactIndex17[],4,FALSE)</f>
        <v>0</v>
      </c>
      <c r="K57" s="45" t="str">
        <f>IFERROR(MAX(tblRiskRegister15[[#This Row],[Impact to Mission]:[Impact to Obligations]])*tblRiskRegister15[[#This Row],[Expectancy Score]],"")</f>
        <v/>
      </c>
      <c r="L57" s="45" t="str">
        <f>tblRiskRegister15[[#This Row],[Risk Score]]</f>
        <v/>
      </c>
      <c r="M57" s="214"/>
      <c r="N57" s="29">
        <v>6.2</v>
      </c>
      <c r="O57" s="30" t="s">
        <v>114</v>
      </c>
      <c r="P57" s="30" t="s">
        <v>231</v>
      </c>
      <c r="Q57" s="24"/>
      <c r="R57" s="25"/>
      <c r="S57" s="46" t="str">
        <f>IFERROR(VLOOKUP(10*tblRiskRegister15[[#This Row],[Risk Treatment Safeguard Maturity Score]]+tblRiskRegister15[[#This Row],[VCDB Index]],tblHITIndexWeightTable[],4,FALSE),"")</f>
        <v/>
      </c>
      <c r="T57" s="46">
        <f>VLOOKUP(tblRiskRegister15[[#This Row],[Asset Class]],tblImpactIndex17[],2,FALSE)</f>
        <v>0</v>
      </c>
      <c r="U57" s="46">
        <f>VLOOKUP(tblRiskRegister15[[#This Row],[Asset Class]],tblImpactIndex17[],3,FALSE)</f>
        <v>0</v>
      </c>
      <c r="V57" s="46">
        <f>VLOOKUP(tblRiskRegister15[[#This Row],[Asset Class]],tblImpactIndex17[],4,FALSE)</f>
        <v>0</v>
      </c>
      <c r="W57" s="46" t="str">
        <f>IFERROR(MAX(tblRiskRegister15[[#This Row],[Risk Treatment Safeguard Impact to Mission]:[Risk Treatment Safeguard Impact to Obligations]])*tblRiskRegister15[[#This Row],[Risk Treatment
Safeguard Expectancy Score]],"")</f>
        <v/>
      </c>
      <c r="X57" s="46" t="str">
        <f>IF(tblRiskRegister15[[#This Row],[Risk Score]]&gt;5,IF(tblRiskRegister15[[#This Row],[Risk Treatment Safeguard Risk Score]]&lt;6, IF(tblRiskRegister15[[#This Row],[Risk Treatment Safeguard Risk Score]]&lt;=tblRiskRegister15[[#This Row],[Risk Score]],"Yes","No"),"No"),"Yes")</f>
        <v>No</v>
      </c>
      <c r="Y57" s="26"/>
      <c r="Z57" s="26"/>
      <c r="AA57" s="27"/>
    </row>
    <row r="58" spans="2:27" ht="38.25" x14ac:dyDescent="0.2">
      <c r="B58" s="29">
        <v>6.3</v>
      </c>
      <c r="C58" s="30" t="s">
        <v>115</v>
      </c>
      <c r="D58" s="30" t="s">
        <v>150</v>
      </c>
      <c r="E58" s="25"/>
      <c r="F58" s="45">
        <f>IFERROR(VLOOKUP(tblRiskRegister15[[#This Row],[Asset Class]],tblVCDBIndex[],4,FALSE),"")</f>
        <v>3</v>
      </c>
      <c r="G58" s="45" t="str">
        <f>IFERROR(VLOOKUP(10*tblRiskRegister15[[#This Row],[Safeguard Maturity Score]]+tblRiskRegister15[[#This Row],[VCDB Index]],tblHITIndexWeightTable[],4,FALSE),"")</f>
        <v/>
      </c>
      <c r="H58" s="45">
        <f>VLOOKUP(tblRiskRegister15[[#This Row],[Asset Class]],tblImpactIndex17[],2,FALSE)</f>
        <v>0</v>
      </c>
      <c r="I58" s="45">
        <f>VLOOKUP(tblRiskRegister15[[#This Row],[Asset Class]],tblImpactIndex17[],3,FALSE)</f>
        <v>0</v>
      </c>
      <c r="J58" s="45">
        <f>VLOOKUP(tblRiskRegister15[[#This Row],[Asset Class]],tblImpactIndex17[],4,FALSE)</f>
        <v>0</v>
      </c>
      <c r="K58" s="45" t="str">
        <f>IFERROR(MAX(tblRiskRegister15[[#This Row],[Impact to Mission]:[Impact to Obligations]])*tblRiskRegister15[[#This Row],[Expectancy Score]],"")</f>
        <v/>
      </c>
      <c r="L58" s="45" t="str">
        <f>tblRiskRegister15[[#This Row],[Risk Score]]</f>
        <v/>
      </c>
      <c r="M58" s="214"/>
      <c r="N58" s="29">
        <v>6.3</v>
      </c>
      <c r="O58" s="30" t="s">
        <v>115</v>
      </c>
      <c r="P58" s="30" t="s">
        <v>232</v>
      </c>
      <c r="Q58" s="24"/>
      <c r="R58" s="25"/>
      <c r="S58" s="46" t="str">
        <f>IFERROR(VLOOKUP(10*tblRiskRegister15[[#This Row],[Risk Treatment Safeguard Maturity Score]]+tblRiskRegister15[[#This Row],[VCDB Index]],tblHITIndexWeightTable[],4,FALSE),"")</f>
        <v/>
      </c>
      <c r="T58" s="46">
        <f>VLOOKUP(tblRiskRegister15[[#This Row],[Asset Class]],tblImpactIndex17[],2,FALSE)</f>
        <v>0</v>
      </c>
      <c r="U58" s="46">
        <f>VLOOKUP(tblRiskRegister15[[#This Row],[Asset Class]],tblImpactIndex17[],3,FALSE)</f>
        <v>0</v>
      </c>
      <c r="V58" s="46">
        <f>VLOOKUP(tblRiskRegister15[[#This Row],[Asset Class]],tblImpactIndex17[],4,FALSE)</f>
        <v>0</v>
      </c>
      <c r="W58" s="46" t="str">
        <f>IFERROR(MAX(tblRiskRegister15[[#This Row],[Risk Treatment Safeguard Impact to Mission]:[Risk Treatment Safeguard Impact to Obligations]])*tblRiskRegister15[[#This Row],[Risk Treatment
Safeguard Expectancy Score]],"")</f>
        <v/>
      </c>
      <c r="X58" s="46" t="str">
        <f>IF(tblRiskRegister15[[#This Row],[Risk Score]]&gt;5,IF(tblRiskRegister15[[#This Row],[Risk Treatment Safeguard Risk Score]]&lt;6, IF(tblRiskRegister15[[#This Row],[Risk Treatment Safeguard Risk Score]]&lt;=tblRiskRegister15[[#This Row],[Risk Score]],"Yes","No"),"No"),"Yes")</f>
        <v>No</v>
      </c>
      <c r="Y58" s="26"/>
      <c r="Z58" s="26"/>
      <c r="AA58" s="27"/>
    </row>
    <row r="59" spans="2:27" ht="38.25" x14ac:dyDescent="0.2">
      <c r="B59" s="29">
        <v>6.4</v>
      </c>
      <c r="C59" s="30" t="s">
        <v>116</v>
      </c>
      <c r="D59" s="30" t="s">
        <v>150</v>
      </c>
      <c r="E59" s="25"/>
      <c r="F59" s="45">
        <f>IFERROR(VLOOKUP(tblRiskRegister15[[#This Row],[Asset Class]],tblVCDBIndex[],4,FALSE),"")</f>
        <v>3</v>
      </c>
      <c r="G59" s="45" t="str">
        <f>IFERROR(VLOOKUP(10*tblRiskRegister15[[#This Row],[Safeguard Maturity Score]]+tblRiskRegister15[[#This Row],[VCDB Index]],tblHITIndexWeightTable[],4,FALSE),"")</f>
        <v/>
      </c>
      <c r="H59" s="45">
        <f>VLOOKUP(tblRiskRegister15[[#This Row],[Asset Class]],tblImpactIndex17[],2,FALSE)</f>
        <v>0</v>
      </c>
      <c r="I59" s="45">
        <f>VLOOKUP(tblRiskRegister15[[#This Row],[Asset Class]],tblImpactIndex17[],3,FALSE)</f>
        <v>0</v>
      </c>
      <c r="J59" s="45">
        <f>VLOOKUP(tblRiskRegister15[[#This Row],[Asset Class]],tblImpactIndex17[],4,FALSE)</f>
        <v>0</v>
      </c>
      <c r="K59" s="45" t="str">
        <f>IFERROR(MAX(tblRiskRegister15[[#This Row],[Impact to Mission]:[Impact to Obligations]])*tblRiskRegister15[[#This Row],[Expectancy Score]],"")</f>
        <v/>
      </c>
      <c r="L59" s="45" t="str">
        <f>tblRiskRegister15[[#This Row],[Risk Score]]</f>
        <v/>
      </c>
      <c r="M59" s="214"/>
      <c r="N59" s="29">
        <v>6.4</v>
      </c>
      <c r="O59" s="30" t="s">
        <v>116</v>
      </c>
      <c r="P59" s="30" t="s">
        <v>233</v>
      </c>
      <c r="Q59" s="24"/>
      <c r="R59" s="25"/>
      <c r="S59" s="46" t="str">
        <f>IFERROR(VLOOKUP(10*tblRiskRegister15[[#This Row],[Risk Treatment Safeguard Maturity Score]]+tblRiskRegister15[[#This Row],[VCDB Index]],tblHITIndexWeightTable[],4,FALSE),"")</f>
        <v/>
      </c>
      <c r="T59" s="46">
        <f>VLOOKUP(tblRiskRegister15[[#This Row],[Asset Class]],tblImpactIndex17[],2,FALSE)</f>
        <v>0</v>
      </c>
      <c r="U59" s="46">
        <f>VLOOKUP(tblRiskRegister15[[#This Row],[Asset Class]],tblImpactIndex17[],3,FALSE)</f>
        <v>0</v>
      </c>
      <c r="V59" s="46">
        <f>VLOOKUP(tblRiskRegister15[[#This Row],[Asset Class]],tblImpactIndex17[],4,FALSE)</f>
        <v>0</v>
      </c>
      <c r="W59" s="46" t="str">
        <f>IFERROR(MAX(tblRiskRegister15[[#This Row],[Risk Treatment Safeguard Impact to Mission]:[Risk Treatment Safeguard Impact to Obligations]])*tblRiskRegister15[[#This Row],[Risk Treatment
Safeguard Expectancy Score]],"")</f>
        <v/>
      </c>
      <c r="X59" s="46" t="str">
        <f>IF(tblRiskRegister15[[#This Row],[Risk Score]]&gt;5,IF(tblRiskRegister15[[#This Row],[Risk Treatment Safeguard Risk Score]]&lt;6, IF(tblRiskRegister15[[#This Row],[Risk Treatment Safeguard Risk Score]]&lt;=tblRiskRegister15[[#This Row],[Risk Score]],"Yes","No"),"No"),"Yes")</f>
        <v>No</v>
      </c>
      <c r="Y59" s="26"/>
      <c r="Z59" s="26"/>
      <c r="AA59" s="27"/>
    </row>
    <row r="60" spans="2:27" ht="25.5" x14ac:dyDescent="0.2">
      <c r="B60" s="29">
        <v>6.5</v>
      </c>
      <c r="C60" s="30" t="s">
        <v>117</v>
      </c>
      <c r="D60" s="30" t="s">
        <v>150</v>
      </c>
      <c r="E60" s="25"/>
      <c r="F60" s="45">
        <f>IFERROR(VLOOKUP(tblRiskRegister15[[#This Row],[Asset Class]],tblVCDBIndex[],4,FALSE),"")</f>
        <v>3</v>
      </c>
      <c r="G60" s="45" t="str">
        <f>IFERROR(VLOOKUP(10*tblRiskRegister15[[#This Row],[Safeguard Maturity Score]]+tblRiskRegister15[[#This Row],[VCDB Index]],tblHITIndexWeightTable[],4,FALSE),"")</f>
        <v/>
      </c>
      <c r="H60" s="45">
        <f>VLOOKUP(tblRiskRegister15[[#This Row],[Asset Class]],tblImpactIndex17[],2,FALSE)</f>
        <v>0</v>
      </c>
      <c r="I60" s="45">
        <f>VLOOKUP(tblRiskRegister15[[#This Row],[Asset Class]],tblImpactIndex17[],3,FALSE)</f>
        <v>0</v>
      </c>
      <c r="J60" s="45">
        <f>VLOOKUP(tblRiskRegister15[[#This Row],[Asset Class]],tblImpactIndex17[],4,FALSE)</f>
        <v>0</v>
      </c>
      <c r="K60" s="45" t="str">
        <f>IFERROR(MAX(tblRiskRegister15[[#This Row],[Impact to Mission]:[Impact to Obligations]])*tblRiskRegister15[[#This Row],[Expectancy Score]],"")</f>
        <v/>
      </c>
      <c r="L60" s="45" t="str">
        <f>tblRiskRegister15[[#This Row],[Risk Score]]</f>
        <v/>
      </c>
      <c r="M60" s="214"/>
      <c r="N60" s="29">
        <v>6.5</v>
      </c>
      <c r="O60" s="30" t="s">
        <v>117</v>
      </c>
      <c r="P60" s="30" t="s">
        <v>234</v>
      </c>
      <c r="Q60" s="24"/>
      <c r="R60" s="25"/>
      <c r="S60" s="46" t="str">
        <f>IFERROR(VLOOKUP(10*tblRiskRegister15[[#This Row],[Risk Treatment Safeguard Maturity Score]]+tblRiskRegister15[[#This Row],[VCDB Index]],tblHITIndexWeightTable[],4,FALSE),"")</f>
        <v/>
      </c>
      <c r="T60" s="46">
        <f>VLOOKUP(tblRiskRegister15[[#This Row],[Asset Class]],tblImpactIndex17[],2,FALSE)</f>
        <v>0</v>
      </c>
      <c r="U60" s="46">
        <f>VLOOKUP(tblRiskRegister15[[#This Row],[Asset Class]],tblImpactIndex17[],3,FALSE)</f>
        <v>0</v>
      </c>
      <c r="V60" s="46">
        <f>VLOOKUP(tblRiskRegister15[[#This Row],[Asset Class]],tblImpactIndex17[],4,FALSE)</f>
        <v>0</v>
      </c>
      <c r="W60" s="46" t="str">
        <f>IFERROR(MAX(tblRiskRegister15[[#This Row],[Risk Treatment Safeguard Impact to Mission]:[Risk Treatment Safeguard Impact to Obligations]])*tblRiskRegister15[[#This Row],[Risk Treatment
Safeguard Expectancy Score]],"")</f>
        <v/>
      </c>
      <c r="X60" s="46" t="str">
        <f>IF(tblRiskRegister15[[#This Row],[Risk Score]]&gt;5,IF(tblRiskRegister15[[#This Row],[Risk Treatment Safeguard Risk Score]]&lt;6, IF(tblRiskRegister15[[#This Row],[Risk Treatment Safeguard Risk Score]]&lt;=tblRiskRegister15[[#This Row],[Risk Score]],"Yes","No"),"No"),"Yes")</f>
        <v>No</v>
      </c>
      <c r="Y60" s="26"/>
      <c r="Z60" s="26"/>
      <c r="AA60" s="27"/>
    </row>
    <row r="61" spans="2:27" ht="38.25" x14ac:dyDescent="0.2">
      <c r="B61" s="29">
        <v>7.1</v>
      </c>
      <c r="C61" s="30" t="s">
        <v>118</v>
      </c>
      <c r="D61" s="30" t="s">
        <v>148</v>
      </c>
      <c r="E61" s="25"/>
      <c r="F61" s="45">
        <f>IFERROR(VLOOKUP(tblRiskRegister15[[#This Row],[Asset Class]],tblVCDBIndex[],4,FALSE),"")</f>
        <v>2</v>
      </c>
      <c r="G61" s="45" t="str">
        <f>IFERROR(VLOOKUP(10*tblRiskRegister15[[#This Row],[Safeguard Maturity Score]]+tblRiskRegister15[[#This Row],[VCDB Index]],tblHITIndexWeightTable[],4,FALSE),"")</f>
        <v/>
      </c>
      <c r="H61" s="45">
        <f>VLOOKUP(tblRiskRegister15[[#This Row],[Asset Class]],tblImpactIndex17[],2,FALSE)</f>
        <v>0</v>
      </c>
      <c r="I61" s="45">
        <f>VLOOKUP(tblRiskRegister15[[#This Row],[Asset Class]],tblImpactIndex17[],3,FALSE)</f>
        <v>0</v>
      </c>
      <c r="J61" s="45">
        <f>VLOOKUP(tblRiskRegister15[[#This Row],[Asset Class]],tblImpactIndex17[],4,FALSE)</f>
        <v>0</v>
      </c>
      <c r="K61" s="45" t="str">
        <f>IFERROR(MAX(tblRiskRegister15[[#This Row],[Impact to Mission]:[Impact to Obligations]])*tblRiskRegister15[[#This Row],[Expectancy Score]],"")</f>
        <v/>
      </c>
      <c r="L61" s="45" t="str">
        <f>tblRiskRegister15[[#This Row],[Risk Score]]</f>
        <v/>
      </c>
      <c r="M61" s="214"/>
      <c r="N61" s="29">
        <v>7.1</v>
      </c>
      <c r="O61" s="30" t="s">
        <v>118</v>
      </c>
      <c r="P61" s="30" t="s">
        <v>235</v>
      </c>
      <c r="Q61" s="24"/>
      <c r="R61" s="25"/>
      <c r="S61" s="46" t="str">
        <f>IFERROR(VLOOKUP(10*tblRiskRegister15[[#This Row],[Risk Treatment Safeguard Maturity Score]]+tblRiskRegister15[[#This Row],[VCDB Index]],tblHITIndexWeightTable[],4,FALSE),"")</f>
        <v/>
      </c>
      <c r="T61" s="46">
        <f>VLOOKUP(tblRiskRegister15[[#This Row],[Asset Class]],tblImpactIndex17[],2,FALSE)</f>
        <v>0</v>
      </c>
      <c r="U61" s="46">
        <f>VLOOKUP(tblRiskRegister15[[#This Row],[Asset Class]],tblImpactIndex17[],3,FALSE)</f>
        <v>0</v>
      </c>
      <c r="V61" s="46">
        <f>VLOOKUP(tblRiskRegister15[[#This Row],[Asset Class]],tblImpactIndex17[],4,FALSE)</f>
        <v>0</v>
      </c>
      <c r="W61" s="46" t="str">
        <f>IFERROR(MAX(tblRiskRegister15[[#This Row],[Risk Treatment Safeguard Impact to Mission]:[Risk Treatment Safeguard Impact to Obligations]])*tblRiskRegister15[[#This Row],[Risk Treatment
Safeguard Expectancy Score]],"")</f>
        <v/>
      </c>
      <c r="X61" s="46" t="str">
        <f>IF(tblRiskRegister15[[#This Row],[Risk Score]]&gt;5,IF(tblRiskRegister15[[#This Row],[Risk Treatment Safeguard Risk Score]]&lt;6, IF(tblRiskRegister15[[#This Row],[Risk Treatment Safeguard Risk Score]]&lt;=tblRiskRegister15[[#This Row],[Risk Score]],"Yes","No"),"No"),"Yes")</f>
        <v>No</v>
      </c>
      <c r="Y61" s="26"/>
      <c r="Z61" s="26"/>
      <c r="AA61" s="27"/>
    </row>
    <row r="62" spans="2:27" ht="25.5" x14ac:dyDescent="0.2">
      <c r="B62" s="29">
        <v>7.2</v>
      </c>
      <c r="C62" s="30" t="s">
        <v>119</v>
      </c>
      <c r="D62" s="30" t="s">
        <v>148</v>
      </c>
      <c r="E62" s="25"/>
      <c r="F62" s="45">
        <f>IFERROR(VLOOKUP(tblRiskRegister15[[#This Row],[Asset Class]],tblVCDBIndex[],4,FALSE),"")</f>
        <v>2</v>
      </c>
      <c r="G62" s="45" t="str">
        <f>IFERROR(VLOOKUP(10*tblRiskRegister15[[#This Row],[Safeguard Maturity Score]]+tblRiskRegister15[[#This Row],[VCDB Index]],tblHITIndexWeightTable[],4,FALSE),"")</f>
        <v/>
      </c>
      <c r="H62" s="45">
        <f>VLOOKUP(tblRiskRegister15[[#This Row],[Asset Class]],tblImpactIndex17[],2,FALSE)</f>
        <v>0</v>
      </c>
      <c r="I62" s="45">
        <f>VLOOKUP(tblRiskRegister15[[#This Row],[Asset Class]],tblImpactIndex17[],3,FALSE)</f>
        <v>0</v>
      </c>
      <c r="J62" s="45">
        <f>VLOOKUP(tblRiskRegister15[[#This Row],[Asset Class]],tblImpactIndex17[],4,FALSE)</f>
        <v>0</v>
      </c>
      <c r="K62" s="45" t="str">
        <f>IFERROR(MAX(tblRiskRegister15[[#This Row],[Impact to Mission]:[Impact to Obligations]])*tblRiskRegister15[[#This Row],[Expectancy Score]],"")</f>
        <v/>
      </c>
      <c r="L62" s="45" t="str">
        <f>tblRiskRegister15[[#This Row],[Risk Score]]</f>
        <v/>
      </c>
      <c r="M62" s="214"/>
      <c r="N62" s="29">
        <v>7.2</v>
      </c>
      <c r="O62" s="30" t="s">
        <v>119</v>
      </c>
      <c r="P62" s="30" t="s">
        <v>236</v>
      </c>
      <c r="Q62" s="24"/>
      <c r="R62" s="25"/>
      <c r="S62" s="46" t="str">
        <f>IFERROR(VLOOKUP(10*tblRiskRegister15[[#This Row],[Risk Treatment Safeguard Maturity Score]]+tblRiskRegister15[[#This Row],[VCDB Index]],tblHITIndexWeightTable[],4,FALSE),"")</f>
        <v/>
      </c>
      <c r="T62" s="46">
        <f>VLOOKUP(tblRiskRegister15[[#This Row],[Asset Class]],tblImpactIndex17[],2,FALSE)</f>
        <v>0</v>
      </c>
      <c r="U62" s="46">
        <f>VLOOKUP(tblRiskRegister15[[#This Row],[Asset Class]],tblImpactIndex17[],3,FALSE)</f>
        <v>0</v>
      </c>
      <c r="V62" s="46">
        <f>VLOOKUP(tblRiskRegister15[[#This Row],[Asset Class]],tblImpactIndex17[],4,FALSE)</f>
        <v>0</v>
      </c>
      <c r="W62" s="46" t="str">
        <f>IFERROR(MAX(tblRiskRegister15[[#This Row],[Risk Treatment Safeguard Impact to Mission]:[Risk Treatment Safeguard Impact to Obligations]])*tblRiskRegister15[[#This Row],[Risk Treatment
Safeguard Expectancy Score]],"")</f>
        <v/>
      </c>
      <c r="X62" s="46" t="str">
        <f>IF(tblRiskRegister15[[#This Row],[Risk Score]]&gt;5,IF(tblRiskRegister15[[#This Row],[Risk Treatment Safeguard Risk Score]]&lt;6, IF(tblRiskRegister15[[#This Row],[Risk Treatment Safeguard Risk Score]]&lt;=tblRiskRegister15[[#This Row],[Risk Score]],"Yes","No"),"No"),"Yes")</f>
        <v>No</v>
      </c>
      <c r="Y62" s="26"/>
      <c r="Z62" s="26"/>
      <c r="AA62" s="27"/>
    </row>
    <row r="63" spans="2:27" ht="38.25" x14ac:dyDescent="0.2">
      <c r="B63" s="29">
        <v>7.3</v>
      </c>
      <c r="C63" s="30" t="s">
        <v>120</v>
      </c>
      <c r="D63" s="30" t="s">
        <v>148</v>
      </c>
      <c r="E63" s="25"/>
      <c r="F63" s="45">
        <f>IFERROR(VLOOKUP(tblRiskRegister15[[#This Row],[Asset Class]],tblVCDBIndex[],4,FALSE),"")</f>
        <v>2</v>
      </c>
      <c r="G63" s="45" t="str">
        <f>IFERROR(VLOOKUP(10*tblRiskRegister15[[#This Row],[Safeguard Maturity Score]]+tblRiskRegister15[[#This Row],[VCDB Index]],tblHITIndexWeightTable[],4,FALSE),"")</f>
        <v/>
      </c>
      <c r="H63" s="45">
        <f>VLOOKUP(tblRiskRegister15[[#This Row],[Asset Class]],tblImpactIndex17[],2,FALSE)</f>
        <v>0</v>
      </c>
      <c r="I63" s="45">
        <f>VLOOKUP(tblRiskRegister15[[#This Row],[Asset Class]],tblImpactIndex17[],3,FALSE)</f>
        <v>0</v>
      </c>
      <c r="J63" s="45">
        <f>VLOOKUP(tblRiskRegister15[[#This Row],[Asset Class]],tblImpactIndex17[],4,FALSE)</f>
        <v>0</v>
      </c>
      <c r="K63" s="45" t="str">
        <f>IFERROR(MAX(tblRiskRegister15[[#This Row],[Impact to Mission]:[Impact to Obligations]])*tblRiskRegister15[[#This Row],[Expectancy Score]],"")</f>
        <v/>
      </c>
      <c r="L63" s="45" t="str">
        <f>tblRiskRegister15[[#This Row],[Risk Score]]</f>
        <v/>
      </c>
      <c r="M63" s="214"/>
      <c r="N63" s="29">
        <v>7.3</v>
      </c>
      <c r="O63" s="30" t="s">
        <v>120</v>
      </c>
      <c r="P63" s="30" t="s">
        <v>237</v>
      </c>
      <c r="Q63" s="24"/>
      <c r="R63" s="25"/>
      <c r="S63" s="46" t="str">
        <f>IFERROR(VLOOKUP(10*tblRiskRegister15[[#This Row],[Risk Treatment Safeguard Maturity Score]]+tblRiskRegister15[[#This Row],[VCDB Index]],tblHITIndexWeightTable[],4,FALSE),"")</f>
        <v/>
      </c>
      <c r="T63" s="46">
        <f>VLOOKUP(tblRiskRegister15[[#This Row],[Asset Class]],tblImpactIndex17[],2,FALSE)</f>
        <v>0</v>
      </c>
      <c r="U63" s="46">
        <f>VLOOKUP(tblRiskRegister15[[#This Row],[Asset Class]],tblImpactIndex17[],3,FALSE)</f>
        <v>0</v>
      </c>
      <c r="V63" s="46">
        <f>VLOOKUP(tblRiskRegister15[[#This Row],[Asset Class]],tblImpactIndex17[],4,FALSE)</f>
        <v>0</v>
      </c>
      <c r="W63" s="46" t="str">
        <f>IFERROR(MAX(tblRiskRegister15[[#This Row],[Risk Treatment Safeguard Impact to Mission]:[Risk Treatment Safeguard Impact to Obligations]])*tblRiskRegister15[[#This Row],[Risk Treatment
Safeguard Expectancy Score]],"")</f>
        <v/>
      </c>
      <c r="X63" s="46" t="str">
        <f>IF(tblRiskRegister15[[#This Row],[Risk Score]]&gt;5,IF(tblRiskRegister15[[#This Row],[Risk Treatment Safeguard Risk Score]]&lt;6, IF(tblRiskRegister15[[#This Row],[Risk Treatment Safeguard Risk Score]]&lt;=tblRiskRegister15[[#This Row],[Risk Score]],"Yes","No"),"No"),"Yes")</f>
        <v>No</v>
      </c>
      <c r="Y63" s="26"/>
      <c r="Z63" s="26"/>
      <c r="AA63" s="27"/>
    </row>
    <row r="64" spans="2:27" ht="38.25" x14ac:dyDescent="0.2">
      <c r="B64" s="29">
        <v>7.4</v>
      </c>
      <c r="C64" s="30" t="s">
        <v>121</v>
      </c>
      <c r="D64" s="30" t="s">
        <v>148</v>
      </c>
      <c r="E64" s="25"/>
      <c r="F64" s="45">
        <f>IFERROR(VLOOKUP(tblRiskRegister15[[#This Row],[Asset Class]],tblVCDBIndex[],4,FALSE),"")</f>
        <v>2</v>
      </c>
      <c r="G64" s="45" t="str">
        <f>IFERROR(VLOOKUP(10*tblRiskRegister15[[#This Row],[Safeguard Maturity Score]]+tblRiskRegister15[[#This Row],[VCDB Index]],tblHITIndexWeightTable[],4,FALSE),"")</f>
        <v/>
      </c>
      <c r="H64" s="45">
        <f>VLOOKUP(tblRiskRegister15[[#This Row],[Asset Class]],tblImpactIndex17[],2,FALSE)</f>
        <v>0</v>
      </c>
      <c r="I64" s="45">
        <f>VLOOKUP(tblRiskRegister15[[#This Row],[Asset Class]],tblImpactIndex17[],3,FALSE)</f>
        <v>0</v>
      </c>
      <c r="J64" s="45">
        <f>VLOOKUP(tblRiskRegister15[[#This Row],[Asset Class]],tblImpactIndex17[],4,FALSE)</f>
        <v>0</v>
      </c>
      <c r="K64" s="45" t="str">
        <f>IFERROR(MAX(tblRiskRegister15[[#This Row],[Impact to Mission]:[Impact to Obligations]])*tblRiskRegister15[[#This Row],[Expectancy Score]],"")</f>
        <v/>
      </c>
      <c r="L64" s="45" t="str">
        <f>tblRiskRegister15[[#This Row],[Risk Score]]</f>
        <v/>
      </c>
      <c r="M64" s="214"/>
      <c r="N64" s="29">
        <v>7.4</v>
      </c>
      <c r="O64" s="30" t="s">
        <v>121</v>
      </c>
      <c r="P64" s="30" t="s">
        <v>238</v>
      </c>
      <c r="Q64" s="24"/>
      <c r="R64" s="25"/>
      <c r="S64" s="46" t="str">
        <f>IFERROR(VLOOKUP(10*tblRiskRegister15[[#This Row],[Risk Treatment Safeguard Maturity Score]]+tblRiskRegister15[[#This Row],[VCDB Index]],tblHITIndexWeightTable[],4,FALSE),"")</f>
        <v/>
      </c>
      <c r="T64" s="46">
        <f>VLOOKUP(tblRiskRegister15[[#This Row],[Asset Class]],tblImpactIndex17[],2,FALSE)</f>
        <v>0</v>
      </c>
      <c r="U64" s="46">
        <f>VLOOKUP(tblRiskRegister15[[#This Row],[Asset Class]],tblImpactIndex17[],3,FALSE)</f>
        <v>0</v>
      </c>
      <c r="V64" s="46">
        <f>VLOOKUP(tblRiskRegister15[[#This Row],[Asset Class]],tblImpactIndex17[],4,FALSE)</f>
        <v>0</v>
      </c>
      <c r="W64" s="46" t="str">
        <f>IFERROR(MAX(tblRiskRegister15[[#This Row],[Risk Treatment Safeguard Impact to Mission]:[Risk Treatment Safeguard Impact to Obligations]])*tblRiskRegister15[[#This Row],[Risk Treatment
Safeguard Expectancy Score]],"")</f>
        <v/>
      </c>
      <c r="X64" s="46" t="str">
        <f>IF(tblRiskRegister15[[#This Row],[Risk Score]]&gt;5,IF(tblRiskRegister15[[#This Row],[Risk Treatment Safeguard Risk Score]]&lt;6, IF(tblRiskRegister15[[#This Row],[Risk Treatment Safeguard Risk Score]]&lt;=tblRiskRegister15[[#This Row],[Risk Score]],"Yes","No"),"No"),"Yes")</f>
        <v>No</v>
      </c>
      <c r="Y64" s="26"/>
      <c r="Z64" s="26"/>
      <c r="AA64" s="27"/>
    </row>
    <row r="65" spans="2:27" ht="51" x14ac:dyDescent="0.2">
      <c r="B65" s="29">
        <v>8.1</v>
      </c>
      <c r="C65" s="30" t="s">
        <v>122</v>
      </c>
      <c r="D65" s="30" t="s">
        <v>149</v>
      </c>
      <c r="E65" s="25"/>
      <c r="F65" s="45">
        <f>IFERROR(VLOOKUP(tblRiskRegister15[[#This Row],[Asset Class]],tblVCDBIndex[],4,FALSE),"")</f>
        <v>1</v>
      </c>
      <c r="G65" s="45" t="str">
        <f>IFERROR(VLOOKUP(10*tblRiskRegister15[[#This Row],[Safeguard Maturity Score]]+tblRiskRegister15[[#This Row],[VCDB Index]],tblHITIndexWeightTable[],4,FALSE),"")</f>
        <v/>
      </c>
      <c r="H65" s="45">
        <f>VLOOKUP(tblRiskRegister15[[#This Row],[Asset Class]],tblImpactIndex17[],2,FALSE)</f>
        <v>0</v>
      </c>
      <c r="I65" s="45">
        <f>VLOOKUP(tblRiskRegister15[[#This Row],[Asset Class]],tblImpactIndex17[],3,FALSE)</f>
        <v>0</v>
      </c>
      <c r="J65" s="45">
        <f>VLOOKUP(tblRiskRegister15[[#This Row],[Asset Class]],tblImpactIndex17[],4,FALSE)</f>
        <v>0</v>
      </c>
      <c r="K65" s="45" t="str">
        <f>IFERROR(MAX(tblRiskRegister15[[#This Row],[Impact to Mission]:[Impact to Obligations]])*tblRiskRegister15[[#This Row],[Expectancy Score]],"")</f>
        <v/>
      </c>
      <c r="L65" s="45" t="str">
        <f>tblRiskRegister15[[#This Row],[Risk Score]]</f>
        <v/>
      </c>
      <c r="M65" s="214"/>
      <c r="N65" s="29">
        <v>8.1</v>
      </c>
      <c r="O65" s="30" t="s">
        <v>122</v>
      </c>
      <c r="P65" s="30" t="s">
        <v>264</v>
      </c>
      <c r="Q65" s="24"/>
      <c r="R65" s="25"/>
      <c r="S65" s="46" t="str">
        <f>IFERROR(VLOOKUP(10*tblRiskRegister15[[#This Row],[Risk Treatment Safeguard Maturity Score]]+tblRiskRegister15[[#This Row],[VCDB Index]],tblHITIndexWeightTable[],4,FALSE),"")</f>
        <v/>
      </c>
      <c r="T65" s="46">
        <f>VLOOKUP(tblRiskRegister15[[#This Row],[Asset Class]],tblImpactIndex17[],2,FALSE)</f>
        <v>0</v>
      </c>
      <c r="U65" s="46">
        <f>VLOOKUP(tblRiskRegister15[[#This Row],[Asset Class]],tblImpactIndex17[],3,FALSE)</f>
        <v>0</v>
      </c>
      <c r="V65" s="46">
        <f>VLOOKUP(tblRiskRegister15[[#This Row],[Asset Class]],tblImpactIndex17[],4,FALSE)</f>
        <v>0</v>
      </c>
      <c r="W65" s="46" t="str">
        <f>IFERROR(MAX(tblRiskRegister15[[#This Row],[Risk Treatment Safeguard Impact to Mission]:[Risk Treatment Safeguard Impact to Obligations]])*tblRiskRegister15[[#This Row],[Risk Treatment
Safeguard Expectancy Score]],"")</f>
        <v/>
      </c>
      <c r="X65" s="46" t="str">
        <f>IF(tblRiskRegister15[[#This Row],[Risk Score]]&gt;5,IF(tblRiskRegister15[[#This Row],[Risk Treatment Safeguard Risk Score]]&lt;6, IF(tblRiskRegister15[[#This Row],[Risk Treatment Safeguard Risk Score]]&lt;=tblRiskRegister15[[#This Row],[Risk Score]],"Yes","No"),"No"),"Yes")</f>
        <v>No</v>
      </c>
      <c r="Y65" s="26"/>
      <c r="Z65" s="26"/>
      <c r="AA65" s="27"/>
    </row>
    <row r="66" spans="2:27" ht="25.5" x14ac:dyDescent="0.2">
      <c r="B66" s="29">
        <v>8.1999999999999993</v>
      </c>
      <c r="C66" s="30" t="s">
        <v>123</v>
      </c>
      <c r="D66" s="30" t="s">
        <v>149</v>
      </c>
      <c r="E66" s="25"/>
      <c r="F66" s="45">
        <f>IFERROR(VLOOKUP(tblRiskRegister15[[#This Row],[Asset Class]],tblVCDBIndex[],4,FALSE),"")</f>
        <v>1</v>
      </c>
      <c r="G66" s="45" t="str">
        <f>IFERROR(VLOOKUP(10*tblRiskRegister15[[#This Row],[Safeguard Maturity Score]]+tblRiskRegister15[[#This Row],[VCDB Index]],tblHITIndexWeightTable[],4,FALSE),"")</f>
        <v/>
      </c>
      <c r="H66" s="45">
        <f>VLOOKUP(tblRiskRegister15[[#This Row],[Asset Class]],tblImpactIndex17[],2,FALSE)</f>
        <v>0</v>
      </c>
      <c r="I66" s="45">
        <f>VLOOKUP(tblRiskRegister15[[#This Row],[Asset Class]],tblImpactIndex17[],3,FALSE)</f>
        <v>0</v>
      </c>
      <c r="J66" s="45">
        <f>VLOOKUP(tblRiskRegister15[[#This Row],[Asset Class]],tblImpactIndex17[],4,FALSE)</f>
        <v>0</v>
      </c>
      <c r="K66" s="45" t="str">
        <f>IFERROR(MAX(tblRiskRegister15[[#This Row],[Impact to Mission]:[Impact to Obligations]])*tblRiskRegister15[[#This Row],[Expectancy Score]],"")</f>
        <v/>
      </c>
      <c r="L66" s="45" t="str">
        <f>tblRiskRegister15[[#This Row],[Risk Score]]</f>
        <v/>
      </c>
      <c r="M66" s="214"/>
      <c r="N66" s="29">
        <v>8.1999999999999993</v>
      </c>
      <c r="O66" s="30" t="s">
        <v>123</v>
      </c>
      <c r="P66" s="30" t="s">
        <v>239</v>
      </c>
      <c r="Q66" s="24"/>
      <c r="R66" s="25"/>
      <c r="S66" s="46" t="str">
        <f>IFERROR(VLOOKUP(10*tblRiskRegister15[[#This Row],[Risk Treatment Safeguard Maturity Score]]+tblRiskRegister15[[#This Row],[VCDB Index]],tblHITIndexWeightTable[],4,FALSE),"")</f>
        <v/>
      </c>
      <c r="T66" s="46">
        <f>VLOOKUP(tblRiskRegister15[[#This Row],[Asset Class]],tblImpactIndex17[],2,FALSE)</f>
        <v>0</v>
      </c>
      <c r="U66" s="46">
        <f>VLOOKUP(tblRiskRegister15[[#This Row],[Asset Class]],tblImpactIndex17[],3,FALSE)</f>
        <v>0</v>
      </c>
      <c r="V66" s="46">
        <f>VLOOKUP(tblRiskRegister15[[#This Row],[Asset Class]],tblImpactIndex17[],4,FALSE)</f>
        <v>0</v>
      </c>
      <c r="W66" s="46" t="str">
        <f>IFERROR(MAX(tblRiskRegister15[[#This Row],[Risk Treatment Safeguard Impact to Mission]:[Risk Treatment Safeguard Impact to Obligations]])*tblRiskRegister15[[#This Row],[Risk Treatment
Safeguard Expectancy Score]],"")</f>
        <v/>
      </c>
      <c r="X66" s="46" t="str">
        <f>IF(tblRiskRegister15[[#This Row],[Risk Score]]&gt;5,IF(tblRiskRegister15[[#This Row],[Risk Treatment Safeguard Risk Score]]&lt;6, IF(tblRiskRegister15[[#This Row],[Risk Treatment Safeguard Risk Score]]&lt;=tblRiskRegister15[[#This Row],[Risk Score]],"Yes","No"),"No"),"Yes")</f>
        <v>No</v>
      </c>
      <c r="Y66" s="26"/>
      <c r="Z66" s="26"/>
      <c r="AA66" s="27"/>
    </row>
    <row r="67" spans="2:27" ht="25.5" x14ac:dyDescent="0.2">
      <c r="B67" s="29">
        <v>8.3000000000000007</v>
      </c>
      <c r="C67" s="30" t="s">
        <v>124</v>
      </c>
      <c r="D67" s="30" t="s">
        <v>149</v>
      </c>
      <c r="E67" s="25"/>
      <c r="F67" s="45">
        <f>IFERROR(VLOOKUP(tblRiskRegister15[[#This Row],[Asset Class]],tblVCDBIndex[],4,FALSE),"")</f>
        <v>1</v>
      </c>
      <c r="G67" s="45" t="str">
        <f>IFERROR(VLOOKUP(10*tblRiskRegister15[[#This Row],[Safeguard Maturity Score]]+tblRiskRegister15[[#This Row],[VCDB Index]],tblHITIndexWeightTable[],4,FALSE),"")</f>
        <v/>
      </c>
      <c r="H67" s="45">
        <f>VLOOKUP(tblRiskRegister15[[#This Row],[Asset Class]],tblImpactIndex17[],2,FALSE)</f>
        <v>0</v>
      </c>
      <c r="I67" s="45">
        <f>VLOOKUP(tblRiskRegister15[[#This Row],[Asset Class]],tblImpactIndex17[],3,FALSE)</f>
        <v>0</v>
      </c>
      <c r="J67" s="45">
        <f>VLOOKUP(tblRiskRegister15[[#This Row],[Asset Class]],tblImpactIndex17[],4,FALSE)</f>
        <v>0</v>
      </c>
      <c r="K67" s="45" t="str">
        <f>IFERROR(MAX(tblRiskRegister15[[#This Row],[Impact to Mission]:[Impact to Obligations]])*tblRiskRegister15[[#This Row],[Expectancy Score]],"")</f>
        <v/>
      </c>
      <c r="L67" s="45" t="str">
        <f>tblRiskRegister15[[#This Row],[Risk Score]]</f>
        <v/>
      </c>
      <c r="M67" s="214"/>
      <c r="N67" s="29">
        <v>8.3000000000000007</v>
      </c>
      <c r="O67" s="30" t="s">
        <v>124</v>
      </c>
      <c r="P67" s="30" t="s">
        <v>240</v>
      </c>
      <c r="Q67" s="24"/>
      <c r="R67" s="25"/>
      <c r="S67" s="46" t="str">
        <f>IFERROR(VLOOKUP(10*tblRiskRegister15[[#This Row],[Risk Treatment Safeguard Maturity Score]]+tblRiskRegister15[[#This Row],[VCDB Index]],tblHITIndexWeightTable[],4,FALSE),"")</f>
        <v/>
      </c>
      <c r="T67" s="46">
        <f>VLOOKUP(tblRiskRegister15[[#This Row],[Asset Class]],tblImpactIndex17[],2,FALSE)</f>
        <v>0</v>
      </c>
      <c r="U67" s="46">
        <f>VLOOKUP(tblRiskRegister15[[#This Row],[Asset Class]],tblImpactIndex17[],3,FALSE)</f>
        <v>0</v>
      </c>
      <c r="V67" s="46">
        <f>VLOOKUP(tblRiskRegister15[[#This Row],[Asset Class]],tblImpactIndex17[],4,FALSE)</f>
        <v>0</v>
      </c>
      <c r="W67" s="46" t="str">
        <f>IFERROR(MAX(tblRiskRegister15[[#This Row],[Risk Treatment Safeguard Impact to Mission]:[Risk Treatment Safeguard Impact to Obligations]])*tblRiskRegister15[[#This Row],[Risk Treatment
Safeguard Expectancy Score]],"")</f>
        <v/>
      </c>
      <c r="X67" s="46" t="str">
        <f>IF(tblRiskRegister15[[#This Row],[Risk Score]]&gt;5,IF(tblRiskRegister15[[#This Row],[Risk Treatment Safeguard Risk Score]]&lt;6, IF(tblRiskRegister15[[#This Row],[Risk Treatment Safeguard Risk Score]]&lt;=tblRiskRegister15[[#This Row],[Risk Score]],"Yes","No"),"No"),"Yes")</f>
        <v>No</v>
      </c>
      <c r="Y67" s="26"/>
      <c r="Z67" s="26"/>
      <c r="AA67" s="27"/>
    </row>
    <row r="68" spans="2:27" ht="51" x14ac:dyDescent="0.2">
      <c r="B68" s="29">
        <v>9.1</v>
      </c>
      <c r="C68" s="30" t="s">
        <v>25</v>
      </c>
      <c r="D68" s="30" t="s">
        <v>148</v>
      </c>
      <c r="E68" s="25"/>
      <c r="F68" s="45">
        <f>IFERROR(VLOOKUP(tblRiskRegister15[[#This Row],[Asset Class]],tblVCDBIndex[],4,FALSE),"")</f>
        <v>2</v>
      </c>
      <c r="G68" s="45" t="str">
        <f>IFERROR(VLOOKUP(10*tblRiskRegister15[[#This Row],[Safeguard Maturity Score]]+tblRiskRegister15[[#This Row],[VCDB Index]],tblHITIndexWeightTable[],4,FALSE),"")</f>
        <v/>
      </c>
      <c r="H68" s="45">
        <f>VLOOKUP(tblRiskRegister15[[#This Row],[Asset Class]],tblImpactIndex17[],2,FALSE)</f>
        <v>0</v>
      </c>
      <c r="I68" s="45">
        <f>VLOOKUP(tblRiskRegister15[[#This Row],[Asset Class]],tblImpactIndex17[],3,FALSE)</f>
        <v>0</v>
      </c>
      <c r="J68" s="45">
        <f>VLOOKUP(tblRiskRegister15[[#This Row],[Asset Class]],tblImpactIndex17[],4,FALSE)</f>
        <v>0</v>
      </c>
      <c r="K68" s="45" t="str">
        <f>IFERROR(MAX(tblRiskRegister15[[#This Row],[Impact to Mission]:[Impact to Obligations]])*tblRiskRegister15[[#This Row],[Expectancy Score]],"")</f>
        <v/>
      </c>
      <c r="L68" s="45" t="str">
        <f>tblRiskRegister15[[#This Row],[Risk Score]]</f>
        <v/>
      </c>
      <c r="M68" s="214"/>
      <c r="N68" s="29">
        <v>9.1</v>
      </c>
      <c r="O68" s="30" t="s">
        <v>25</v>
      </c>
      <c r="P68" s="30" t="s">
        <v>241</v>
      </c>
      <c r="Q68" s="24"/>
      <c r="R68" s="25"/>
      <c r="S68" s="46" t="str">
        <f>IFERROR(VLOOKUP(10*tblRiskRegister15[[#This Row],[Risk Treatment Safeguard Maturity Score]]+tblRiskRegister15[[#This Row],[VCDB Index]],tblHITIndexWeightTable[],4,FALSE),"")</f>
        <v/>
      </c>
      <c r="T68" s="46">
        <f>VLOOKUP(tblRiskRegister15[[#This Row],[Asset Class]],tblImpactIndex17[],2,FALSE)</f>
        <v>0</v>
      </c>
      <c r="U68" s="46">
        <f>VLOOKUP(tblRiskRegister15[[#This Row],[Asset Class]],tblImpactIndex17[],3,FALSE)</f>
        <v>0</v>
      </c>
      <c r="V68" s="46">
        <f>VLOOKUP(tblRiskRegister15[[#This Row],[Asset Class]],tblImpactIndex17[],4,FALSE)</f>
        <v>0</v>
      </c>
      <c r="W68" s="46" t="str">
        <f>IFERROR(MAX(tblRiskRegister15[[#This Row],[Risk Treatment Safeguard Impact to Mission]:[Risk Treatment Safeguard Impact to Obligations]])*tblRiskRegister15[[#This Row],[Risk Treatment
Safeguard Expectancy Score]],"")</f>
        <v/>
      </c>
      <c r="X68" s="46" t="str">
        <f>IF(tblRiskRegister15[[#This Row],[Risk Score]]&gt;5,IF(tblRiskRegister15[[#This Row],[Risk Treatment Safeguard Risk Score]]&lt;6, IF(tblRiskRegister15[[#This Row],[Risk Treatment Safeguard Risk Score]]&lt;=tblRiskRegister15[[#This Row],[Risk Score]],"Yes","No"),"No"),"Yes")</f>
        <v>No</v>
      </c>
      <c r="Y68" s="26"/>
      <c r="Z68" s="26"/>
      <c r="AA68" s="27"/>
    </row>
    <row r="69" spans="2:27" ht="25.5" x14ac:dyDescent="0.2">
      <c r="B69" s="29">
        <v>9.1999999999999993</v>
      </c>
      <c r="C69" s="30" t="s">
        <v>125</v>
      </c>
      <c r="D69" s="30" t="s">
        <v>149</v>
      </c>
      <c r="E69" s="25"/>
      <c r="F69" s="45">
        <f>IFERROR(VLOOKUP(tblRiskRegister15[[#This Row],[Asset Class]],tblVCDBIndex[],4,FALSE),"")</f>
        <v>1</v>
      </c>
      <c r="G69" s="45" t="str">
        <f>IFERROR(VLOOKUP(10*tblRiskRegister15[[#This Row],[Safeguard Maturity Score]]+tblRiskRegister15[[#This Row],[VCDB Index]],tblHITIndexWeightTable[],4,FALSE),"")</f>
        <v/>
      </c>
      <c r="H69" s="45">
        <f>VLOOKUP(tblRiskRegister15[[#This Row],[Asset Class]],tblImpactIndex17[],2,FALSE)</f>
        <v>0</v>
      </c>
      <c r="I69" s="45">
        <f>VLOOKUP(tblRiskRegister15[[#This Row],[Asset Class]],tblImpactIndex17[],3,FALSE)</f>
        <v>0</v>
      </c>
      <c r="J69" s="45">
        <f>VLOOKUP(tblRiskRegister15[[#This Row],[Asset Class]],tblImpactIndex17[],4,FALSE)</f>
        <v>0</v>
      </c>
      <c r="K69" s="45" t="str">
        <f>IFERROR(MAX(tblRiskRegister15[[#This Row],[Impact to Mission]:[Impact to Obligations]])*tblRiskRegister15[[#This Row],[Expectancy Score]],"")</f>
        <v/>
      </c>
      <c r="L69" s="45" t="str">
        <f>tblRiskRegister15[[#This Row],[Risk Score]]</f>
        <v/>
      </c>
      <c r="M69" s="214"/>
      <c r="N69" s="29">
        <v>9.1999999999999993</v>
      </c>
      <c r="O69" s="30" t="s">
        <v>125</v>
      </c>
      <c r="P69" s="30" t="s">
        <v>242</v>
      </c>
      <c r="Q69" s="24"/>
      <c r="R69" s="25"/>
      <c r="S69" s="46" t="str">
        <f>IFERROR(VLOOKUP(10*tblRiskRegister15[[#This Row],[Risk Treatment Safeguard Maturity Score]]+tblRiskRegister15[[#This Row],[VCDB Index]],tblHITIndexWeightTable[],4,FALSE),"")</f>
        <v/>
      </c>
      <c r="T69" s="46">
        <f>VLOOKUP(tblRiskRegister15[[#This Row],[Asset Class]],tblImpactIndex17[],2,FALSE)</f>
        <v>0</v>
      </c>
      <c r="U69" s="46">
        <f>VLOOKUP(tblRiskRegister15[[#This Row],[Asset Class]],tblImpactIndex17[],3,FALSE)</f>
        <v>0</v>
      </c>
      <c r="V69" s="46">
        <f>VLOOKUP(tblRiskRegister15[[#This Row],[Asset Class]],tblImpactIndex17[],4,FALSE)</f>
        <v>0</v>
      </c>
      <c r="W69" s="46" t="str">
        <f>IFERROR(MAX(tblRiskRegister15[[#This Row],[Risk Treatment Safeguard Impact to Mission]:[Risk Treatment Safeguard Impact to Obligations]])*tblRiskRegister15[[#This Row],[Risk Treatment
Safeguard Expectancy Score]],"")</f>
        <v/>
      </c>
      <c r="X69" s="46" t="str">
        <f>IF(tblRiskRegister15[[#This Row],[Risk Score]]&gt;5,IF(tblRiskRegister15[[#This Row],[Risk Treatment Safeguard Risk Score]]&lt;6, IF(tblRiskRegister15[[#This Row],[Risk Treatment Safeguard Risk Score]]&lt;=tblRiskRegister15[[#This Row],[Risk Score]],"Yes","No"),"No"),"Yes")</f>
        <v>No</v>
      </c>
      <c r="Y69" s="26"/>
      <c r="Z69" s="26"/>
      <c r="AA69" s="27"/>
    </row>
    <row r="70" spans="2:27" ht="25.5" x14ac:dyDescent="0.2">
      <c r="B70" s="29">
        <v>10.1</v>
      </c>
      <c r="C70" s="30" t="s">
        <v>126</v>
      </c>
      <c r="D70" s="30" t="s">
        <v>147</v>
      </c>
      <c r="E70" s="25"/>
      <c r="F70" s="45">
        <f>IFERROR(VLOOKUP(tblRiskRegister15[[#This Row],[Asset Class]],tblVCDBIndex[],4,FALSE),"")</f>
        <v>1</v>
      </c>
      <c r="G70" s="45" t="str">
        <f>IFERROR(VLOOKUP(10*tblRiskRegister15[[#This Row],[Safeguard Maturity Score]]+tblRiskRegister15[[#This Row],[VCDB Index]],tblHITIndexWeightTable[],4,FALSE),"")</f>
        <v/>
      </c>
      <c r="H70" s="45">
        <f>VLOOKUP(tblRiskRegister15[[#This Row],[Asset Class]],tblImpactIndex17[],2,FALSE)</f>
        <v>0</v>
      </c>
      <c r="I70" s="45">
        <f>VLOOKUP(tblRiskRegister15[[#This Row],[Asset Class]],tblImpactIndex17[],3,FALSE)</f>
        <v>0</v>
      </c>
      <c r="J70" s="45">
        <f>VLOOKUP(tblRiskRegister15[[#This Row],[Asset Class]],tblImpactIndex17[],4,FALSE)</f>
        <v>0</v>
      </c>
      <c r="K70" s="45" t="str">
        <f>IFERROR(MAX(tblRiskRegister15[[#This Row],[Impact to Mission]:[Impact to Obligations]])*tblRiskRegister15[[#This Row],[Expectancy Score]],"")</f>
        <v/>
      </c>
      <c r="L70" s="45" t="str">
        <f>tblRiskRegister15[[#This Row],[Risk Score]]</f>
        <v/>
      </c>
      <c r="M70" s="214"/>
      <c r="N70" s="29">
        <v>10.1</v>
      </c>
      <c r="O70" s="30" t="s">
        <v>126</v>
      </c>
      <c r="P70" s="30" t="s">
        <v>243</v>
      </c>
      <c r="Q70" s="24"/>
      <c r="R70" s="25"/>
      <c r="S70" s="46" t="str">
        <f>IFERROR(VLOOKUP(10*tblRiskRegister15[[#This Row],[Risk Treatment Safeguard Maturity Score]]+tblRiskRegister15[[#This Row],[VCDB Index]],tblHITIndexWeightTable[],4,FALSE),"")</f>
        <v/>
      </c>
      <c r="T70" s="46">
        <f>VLOOKUP(tblRiskRegister15[[#This Row],[Asset Class]],tblImpactIndex17[],2,FALSE)</f>
        <v>0</v>
      </c>
      <c r="U70" s="46">
        <f>VLOOKUP(tblRiskRegister15[[#This Row],[Asset Class]],tblImpactIndex17[],3,FALSE)</f>
        <v>0</v>
      </c>
      <c r="V70" s="46">
        <f>VLOOKUP(tblRiskRegister15[[#This Row],[Asset Class]],tblImpactIndex17[],4,FALSE)</f>
        <v>0</v>
      </c>
      <c r="W70" s="46" t="str">
        <f>IFERROR(MAX(tblRiskRegister15[[#This Row],[Risk Treatment Safeguard Impact to Mission]:[Risk Treatment Safeguard Impact to Obligations]])*tblRiskRegister15[[#This Row],[Risk Treatment
Safeguard Expectancy Score]],"")</f>
        <v/>
      </c>
      <c r="X70" s="46" t="str">
        <f>IF(tblRiskRegister15[[#This Row],[Risk Score]]&gt;5,IF(tblRiskRegister15[[#This Row],[Risk Treatment Safeguard Risk Score]]&lt;6, IF(tblRiskRegister15[[#This Row],[Risk Treatment Safeguard Risk Score]]&lt;=tblRiskRegister15[[#This Row],[Risk Score]],"Yes","No"),"No"),"Yes")</f>
        <v>No</v>
      </c>
      <c r="Y70" s="26"/>
      <c r="Z70" s="26"/>
      <c r="AA70" s="27"/>
    </row>
    <row r="71" spans="2:27" ht="38.25" x14ac:dyDescent="0.2">
      <c r="B71" s="29">
        <v>10.199999999999999</v>
      </c>
      <c r="C71" s="30" t="s">
        <v>127</v>
      </c>
      <c r="D71" s="30" t="s">
        <v>147</v>
      </c>
      <c r="E71" s="25"/>
      <c r="F71" s="45">
        <f>IFERROR(VLOOKUP(tblRiskRegister15[[#This Row],[Asset Class]],tblVCDBIndex[],4,FALSE),"")</f>
        <v>1</v>
      </c>
      <c r="G71" s="45" t="str">
        <f>IFERROR(VLOOKUP(10*tblRiskRegister15[[#This Row],[Safeguard Maturity Score]]+tblRiskRegister15[[#This Row],[VCDB Index]],tblHITIndexWeightTable[],4,FALSE),"")</f>
        <v/>
      </c>
      <c r="H71" s="45">
        <f>VLOOKUP(tblRiskRegister15[[#This Row],[Asset Class]],tblImpactIndex17[],2,FALSE)</f>
        <v>0</v>
      </c>
      <c r="I71" s="45">
        <f>VLOOKUP(tblRiskRegister15[[#This Row],[Asset Class]],tblImpactIndex17[],3,FALSE)</f>
        <v>0</v>
      </c>
      <c r="J71" s="45">
        <f>VLOOKUP(tblRiskRegister15[[#This Row],[Asset Class]],tblImpactIndex17[],4,FALSE)</f>
        <v>0</v>
      </c>
      <c r="K71" s="45" t="str">
        <f>IFERROR(MAX(tblRiskRegister15[[#This Row],[Impact to Mission]:[Impact to Obligations]])*tblRiskRegister15[[#This Row],[Expectancy Score]],"")</f>
        <v/>
      </c>
      <c r="L71" s="45" t="str">
        <f>tblRiskRegister15[[#This Row],[Risk Score]]</f>
        <v/>
      </c>
      <c r="M71" s="214"/>
      <c r="N71" s="29">
        <v>10.199999999999999</v>
      </c>
      <c r="O71" s="30" t="s">
        <v>127</v>
      </c>
      <c r="P71" s="30" t="s">
        <v>244</v>
      </c>
      <c r="Q71" s="24"/>
      <c r="R71" s="25"/>
      <c r="S71" s="46" t="str">
        <f>IFERROR(VLOOKUP(10*tblRiskRegister15[[#This Row],[Risk Treatment Safeguard Maturity Score]]+tblRiskRegister15[[#This Row],[VCDB Index]],tblHITIndexWeightTable[],4,FALSE),"")</f>
        <v/>
      </c>
      <c r="T71" s="46">
        <f>VLOOKUP(tblRiskRegister15[[#This Row],[Asset Class]],tblImpactIndex17[],2,FALSE)</f>
        <v>0</v>
      </c>
      <c r="U71" s="46">
        <f>VLOOKUP(tblRiskRegister15[[#This Row],[Asset Class]],tblImpactIndex17[],3,FALSE)</f>
        <v>0</v>
      </c>
      <c r="V71" s="46">
        <f>VLOOKUP(tblRiskRegister15[[#This Row],[Asset Class]],tblImpactIndex17[],4,FALSE)</f>
        <v>0</v>
      </c>
      <c r="W71" s="46" t="str">
        <f>IFERROR(MAX(tblRiskRegister15[[#This Row],[Risk Treatment Safeguard Impact to Mission]:[Risk Treatment Safeguard Impact to Obligations]])*tblRiskRegister15[[#This Row],[Risk Treatment
Safeguard Expectancy Score]],"")</f>
        <v/>
      </c>
      <c r="X71" s="46" t="str">
        <f>IF(tblRiskRegister15[[#This Row],[Risk Score]]&gt;5,IF(tblRiskRegister15[[#This Row],[Risk Treatment Safeguard Risk Score]]&lt;6, IF(tblRiskRegister15[[#This Row],[Risk Treatment Safeguard Risk Score]]&lt;=tblRiskRegister15[[#This Row],[Risk Score]],"Yes","No"),"No"),"Yes")</f>
        <v>No</v>
      </c>
      <c r="Y71" s="26"/>
      <c r="Z71" s="26"/>
      <c r="AA71" s="27"/>
    </row>
    <row r="72" spans="2:27" ht="38.25" x14ac:dyDescent="0.2">
      <c r="B72" s="29">
        <v>10.3</v>
      </c>
      <c r="C72" s="30" t="s">
        <v>128</v>
      </c>
      <c r="D72" s="30" t="s">
        <v>147</v>
      </c>
      <c r="E72" s="25"/>
      <c r="F72" s="45">
        <f>IFERROR(VLOOKUP(tblRiskRegister15[[#This Row],[Asset Class]],tblVCDBIndex[],4,FALSE),"")</f>
        <v>1</v>
      </c>
      <c r="G72" s="45" t="str">
        <f>IFERROR(VLOOKUP(10*tblRiskRegister15[[#This Row],[Safeguard Maturity Score]]+tblRiskRegister15[[#This Row],[VCDB Index]],tblHITIndexWeightTable[],4,FALSE),"")</f>
        <v/>
      </c>
      <c r="H72" s="45">
        <f>VLOOKUP(tblRiskRegister15[[#This Row],[Asset Class]],tblImpactIndex17[],2,FALSE)</f>
        <v>0</v>
      </c>
      <c r="I72" s="45">
        <f>VLOOKUP(tblRiskRegister15[[#This Row],[Asset Class]],tblImpactIndex17[],3,FALSE)</f>
        <v>0</v>
      </c>
      <c r="J72" s="45">
        <f>VLOOKUP(tblRiskRegister15[[#This Row],[Asset Class]],tblImpactIndex17[],4,FALSE)</f>
        <v>0</v>
      </c>
      <c r="K72" s="45" t="str">
        <f>IFERROR(MAX(tblRiskRegister15[[#This Row],[Impact to Mission]:[Impact to Obligations]])*tblRiskRegister15[[#This Row],[Expectancy Score]],"")</f>
        <v/>
      </c>
      <c r="L72" s="45" t="str">
        <f>tblRiskRegister15[[#This Row],[Risk Score]]</f>
        <v/>
      </c>
      <c r="M72" s="214"/>
      <c r="N72" s="29">
        <v>10.3</v>
      </c>
      <c r="O72" s="30" t="s">
        <v>128</v>
      </c>
      <c r="P72" s="30" t="s">
        <v>245</v>
      </c>
      <c r="Q72" s="24"/>
      <c r="R72" s="25"/>
      <c r="S72" s="46" t="str">
        <f>IFERROR(VLOOKUP(10*tblRiskRegister15[[#This Row],[Risk Treatment Safeguard Maturity Score]]+tblRiskRegister15[[#This Row],[VCDB Index]],tblHITIndexWeightTable[],4,FALSE),"")</f>
        <v/>
      </c>
      <c r="T72" s="46">
        <f>VLOOKUP(tblRiskRegister15[[#This Row],[Asset Class]],tblImpactIndex17[],2,FALSE)</f>
        <v>0</v>
      </c>
      <c r="U72" s="46">
        <f>VLOOKUP(tblRiskRegister15[[#This Row],[Asset Class]],tblImpactIndex17[],3,FALSE)</f>
        <v>0</v>
      </c>
      <c r="V72" s="46">
        <f>VLOOKUP(tblRiskRegister15[[#This Row],[Asset Class]],tblImpactIndex17[],4,FALSE)</f>
        <v>0</v>
      </c>
      <c r="W72" s="46" t="str">
        <f>IFERROR(MAX(tblRiskRegister15[[#This Row],[Risk Treatment Safeguard Impact to Mission]:[Risk Treatment Safeguard Impact to Obligations]])*tblRiskRegister15[[#This Row],[Risk Treatment
Safeguard Expectancy Score]],"")</f>
        <v/>
      </c>
      <c r="X72" s="46" t="str">
        <f>IF(tblRiskRegister15[[#This Row],[Risk Score]]&gt;5,IF(tblRiskRegister15[[#This Row],[Risk Treatment Safeguard Risk Score]]&lt;6, IF(tblRiskRegister15[[#This Row],[Risk Treatment Safeguard Risk Score]]&lt;=tblRiskRegister15[[#This Row],[Risk Score]],"Yes","No"),"No"),"Yes")</f>
        <v>No</v>
      </c>
      <c r="Y72" s="26"/>
      <c r="Z72" s="26"/>
      <c r="AA72" s="27"/>
    </row>
    <row r="73" spans="2:27" ht="51" x14ac:dyDescent="0.2">
      <c r="B73" s="29">
        <v>11.1</v>
      </c>
      <c r="C73" s="30" t="s">
        <v>129</v>
      </c>
      <c r="D73" s="30" t="s">
        <v>146</v>
      </c>
      <c r="E73" s="25"/>
      <c r="F73" s="45">
        <f>IFERROR(VLOOKUP(tblRiskRegister15[[#This Row],[Asset Class]],tblVCDBIndex[],4,FALSE),"")</f>
        <v>3</v>
      </c>
      <c r="G73" s="45" t="str">
        <f>IFERROR(VLOOKUP(10*tblRiskRegister15[[#This Row],[Safeguard Maturity Score]]+tblRiskRegister15[[#This Row],[VCDB Index]],tblHITIndexWeightTable[],4,FALSE),"")</f>
        <v/>
      </c>
      <c r="H73" s="45">
        <f>VLOOKUP(tblRiskRegister15[[#This Row],[Asset Class]],tblImpactIndex17[],2,FALSE)</f>
        <v>0</v>
      </c>
      <c r="I73" s="45">
        <f>VLOOKUP(tblRiskRegister15[[#This Row],[Asset Class]],tblImpactIndex17[],3,FALSE)</f>
        <v>0</v>
      </c>
      <c r="J73" s="45">
        <f>VLOOKUP(tblRiskRegister15[[#This Row],[Asset Class]],tblImpactIndex17[],4,FALSE)</f>
        <v>0</v>
      </c>
      <c r="K73" s="45" t="str">
        <f>IFERROR(MAX(tblRiskRegister15[[#This Row],[Impact to Mission]:[Impact to Obligations]])*tblRiskRegister15[[#This Row],[Expectancy Score]],"")</f>
        <v/>
      </c>
      <c r="L73" s="45" t="str">
        <f>tblRiskRegister15[[#This Row],[Risk Score]]</f>
        <v/>
      </c>
      <c r="M73" s="214"/>
      <c r="N73" s="29">
        <v>11.1</v>
      </c>
      <c r="O73" s="30" t="s">
        <v>129</v>
      </c>
      <c r="P73" s="30" t="s">
        <v>246</v>
      </c>
      <c r="Q73" s="24"/>
      <c r="R73" s="25"/>
      <c r="S73" s="46" t="str">
        <f>IFERROR(VLOOKUP(10*tblRiskRegister15[[#This Row],[Risk Treatment Safeguard Maturity Score]]+tblRiskRegister15[[#This Row],[VCDB Index]],tblHITIndexWeightTable[],4,FALSE),"")</f>
        <v/>
      </c>
      <c r="T73" s="46">
        <f>VLOOKUP(tblRiskRegister15[[#This Row],[Asset Class]],tblImpactIndex17[],2,FALSE)</f>
        <v>0</v>
      </c>
      <c r="U73" s="46">
        <f>VLOOKUP(tblRiskRegister15[[#This Row],[Asset Class]],tblImpactIndex17[],3,FALSE)</f>
        <v>0</v>
      </c>
      <c r="V73" s="46">
        <f>VLOOKUP(tblRiskRegister15[[#This Row],[Asset Class]],tblImpactIndex17[],4,FALSE)</f>
        <v>0</v>
      </c>
      <c r="W73" s="46" t="str">
        <f>IFERROR(MAX(tblRiskRegister15[[#This Row],[Risk Treatment Safeguard Impact to Mission]:[Risk Treatment Safeguard Impact to Obligations]])*tblRiskRegister15[[#This Row],[Risk Treatment
Safeguard Expectancy Score]],"")</f>
        <v/>
      </c>
      <c r="X73" s="46" t="str">
        <f>IF(tblRiskRegister15[[#This Row],[Risk Score]]&gt;5,IF(tblRiskRegister15[[#This Row],[Risk Treatment Safeguard Risk Score]]&lt;6, IF(tblRiskRegister15[[#This Row],[Risk Treatment Safeguard Risk Score]]&lt;=tblRiskRegister15[[#This Row],[Risk Score]],"Yes","No"),"No"),"Yes")</f>
        <v>No</v>
      </c>
      <c r="Y73" s="26"/>
      <c r="Z73" s="26"/>
      <c r="AA73" s="27"/>
    </row>
    <row r="74" spans="2:27" ht="25.5" x14ac:dyDescent="0.2">
      <c r="B74" s="29">
        <v>11.2</v>
      </c>
      <c r="C74" s="30" t="s">
        <v>130</v>
      </c>
      <c r="D74" s="30" t="s">
        <v>146</v>
      </c>
      <c r="E74" s="25"/>
      <c r="F74" s="45">
        <f>IFERROR(VLOOKUP(tblRiskRegister15[[#This Row],[Asset Class]],tblVCDBIndex[],4,FALSE),"")</f>
        <v>3</v>
      </c>
      <c r="G74" s="45" t="str">
        <f>IFERROR(VLOOKUP(10*tblRiskRegister15[[#This Row],[Safeguard Maturity Score]]+tblRiskRegister15[[#This Row],[VCDB Index]],tblHITIndexWeightTable[],4,FALSE),"")</f>
        <v/>
      </c>
      <c r="H74" s="45">
        <f>VLOOKUP(tblRiskRegister15[[#This Row],[Asset Class]],tblImpactIndex17[],2,FALSE)</f>
        <v>0</v>
      </c>
      <c r="I74" s="45">
        <f>VLOOKUP(tblRiskRegister15[[#This Row],[Asset Class]],tblImpactIndex17[],3,FALSE)</f>
        <v>0</v>
      </c>
      <c r="J74" s="45">
        <f>VLOOKUP(tblRiskRegister15[[#This Row],[Asset Class]],tblImpactIndex17[],4,FALSE)</f>
        <v>0</v>
      </c>
      <c r="K74" s="45" t="str">
        <f>IFERROR(MAX(tblRiskRegister15[[#This Row],[Impact to Mission]:[Impact to Obligations]])*tblRiskRegister15[[#This Row],[Expectancy Score]],"")</f>
        <v/>
      </c>
      <c r="L74" s="45" t="str">
        <f>tblRiskRegister15[[#This Row],[Risk Score]]</f>
        <v/>
      </c>
      <c r="M74" s="214"/>
      <c r="N74" s="29">
        <v>11.2</v>
      </c>
      <c r="O74" s="30" t="s">
        <v>130</v>
      </c>
      <c r="P74" s="30" t="s">
        <v>247</v>
      </c>
      <c r="Q74" s="24"/>
      <c r="R74" s="25"/>
      <c r="S74" s="46" t="str">
        <f>IFERROR(VLOOKUP(10*tblRiskRegister15[[#This Row],[Risk Treatment Safeguard Maturity Score]]+tblRiskRegister15[[#This Row],[VCDB Index]],tblHITIndexWeightTable[],4,FALSE),"")</f>
        <v/>
      </c>
      <c r="T74" s="46">
        <f>VLOOKUP(tblRiskRegister15[[#This Row],[Asset Class]],tblImpactIndex17[],2,FALSE)</f>
        <v>0</v>
      </c>
      <c r="U74" s="46">
        <f>VLOOKUP(tblRiskRegister15[[#This Row],[Asset Class]],tblImpactIndex17[],3,FALSE)</f>
        <v>0</v>
      </c>
      <c r="V74" s="46">
        <f>VLOOKUP(tblRiskRegister15[[#This Row],[Asset Class]],tblImpactIndex17[],4,FALSE)</f>
        <v>0</v>
      </c>
      <c r="W74" s="46" t="str">
        <f>IFERROR(MAX(tblRiskRegister15[[#This Row],[Risk Treatment Safeguard Impact to Mission]:[Risk Treatment Safeguard Impact to Obligations]])*tblRiskRegister15[[#This Row],[Risk Treatment
Safeguard Expectancy Score]],"")</f>
        <v/>
      </c>
      <c r="X74" s="46" t="str">
        <f>IF(tblRiskRegister15[[#This Row],[Risk Score]]&gt;5,IF(tblRiskRegister15[[#This Row],[Risk Treatment Safeguard Risk Score]]&lt;6, IF(tblRiskRegister15[[#This Row],[Risk Treatment Safeguard Risk Score]]&lt;=tblRiskRegister15[[#This Row],[Risk Score]],"Yes","No"),"No"),"Yes")</f>
        <v>No</v>
      </c>
      <c r="Y74" s="26"/>
      <c r="Z74" s="26"/>
      <c r="AA74" s="27"/>
    </row>
    <row r="75" spans="2:27" ht="25.5" x14ac:dyDescent="0.2">
      <c r="B75" s="29">
        <v>11.3</v>
      </c>
      <c r="C75" s="30" t="s">
        <v>131</v>
      </c>
      <c r="D75" s="30" t="s">
        <v>146</v>
      </c>
      <c r="E75" s="25"/>
      <c r="F75" s="45">
        <f>IFERROR(VLOOKUP(tblRiskRegister15[[#This Row],[Asset Class]],tblVCDBIndex[],4,FALSE),"")</f>
        <v>3</v>
      </c>
      <c r="G75" s="45" t="str">
        <f>IFERROR(VLOOKUP(10*tblRiskRegister15[[#This Row],[Safeguard Maturity Score]]+tblRiskRegister15[[#This Row],[VCDB Index]],tblHITIndexWeightTable[],4,FALSE),"")</f>
        <v/>
      </c>
      <c r="H75" s="45">
        <f>VLOOKUP(tblRiskRegister15[[#This Row],[Asset Class]],tblImpactIndex17[],2,FALSE)</f>
        <v>0</v>
      </c>
      <c r="I75" s="45">
        <f>VLOOKUP(tblRiskRegister15[[#This Row],[Asset Class]],tblImpactIndex17[],3,FALSE)</f>
        <v>0</v>
      </c>
      <c r="J75" s="45">
        <f>VLOOKUP(tblRiskRegister15[[#This Row],[Asset Class]],tblImpactIndex17[],4,FALSE)</f>
        <v>0</v>
      </c>
      <c r="K75" s="45" t="str">
        <f>IFERROR(MAX(tblRiskRegister15[[#This Row],[Impact to Mission]:[Impact to Obligations]])*tblRiskRegister15[[#This Row],[Expectancy Score]],"")</f>
        <v/>
      </c>
      <c r="L75" s="45" t="str">
        <f>tblRiskRegister15[[#This Row],[Risk Score]]</f>
        <v/>
      </c>
      <c r="M75" s="214"/>
      <c r="N75" s="29">
        <v>11.3</v>
      </c>
      <c r="O75" s="30" t="s">
        <v>131</v>
      </c>
      <c r="P75" s="30" t="s">
        <v>248</v>
      </c>
      <c r="Q75" s="24"/>
      <c r="R75" s="25"/>
      <c r="S75" s="46" t="str">
        <f>IFERROR(VLOOKUP(10*tblRiskRegister15[[#This Row],[Risk Treatment Safeguard Maturity Score]]+tblRiskRegister15[[#This Row],[VCDB Index]],tblHITIndexWeightTable[],4,FALSE),"")</f>
        <v/>
      </c>
      <c r="T75" s="46">
        <f>VLOOKUP(tblRiskRegister15[[#This Row],[Asset Class]],tblImpactIndex17[],2,FALSE)</f>
        <v>0</v>
      </c>
      <c r="U75" s="46">
        <f>VLOOKUP(tblRiskRegister15[[#This Row],[Asset Class]],tblImpactIndex17[],3,FALSE)</f>
        <v>0</v>
      </c>
      <c r="V75" s="46">
        <f>VLOOKUP(tblRiskRegister15[[#This Row],[Asset Class]],tblImpactIndex17[],4,FALSE)</f>
        <v>0</v>
      </c>
      <c r="W75" s="46" t="str">
        <f>IFERROR(MAX(tblRiskRegister15[[#This Row],[Risk Treatment Safeguard Impact to Mission]:[Risk Treatment Safeguard Impact to Obligations]])*tblRiskRegister15[[#This Row],[Risk Treatment
Safeguard Expectancy Score]],"")</f>
        <v/>
      </c>
      <c r="X75" s="46" t="str">
        <f>IF(tblRiskRegister15[[#This Row],[Risk Score]]&gt;5,IF(tblRiskRegister15[[#This Row],[Risk Treatment Safeguard Risk Score]]&lt;6, IF(tblRiskRegister15[[#This Row],[Risk Treatment Safeguard Risk Score]]&lt;=tblRiskRegister15[[#This Row],[Risk Score]],"Yes","No"),"No"),"Yes")</f>
        <v>No</v>
      </c>
      <c r="Y75" s="26"/>
      <c r="Z75" s="26"/>
      <c r="AA75" s="27"/>
    </row>
    <row r="76" spans="2:27" ht="38.25" x14ac:dyDescent="0.2">
      <c r="B76" s="29">
        <v>11.4</v>
      </c>
      <c r="C76" s="30" t="s">
        <v>132</v>
      </c>
      <c r="D76" s="30" t="s">
        <v>146</v>
      </c>
      <c r="E76" s="25"/>
      <c r="F76" s="45">
        <f>IFERROR(VLOOKUP(tblRiskRegister15[[#This Row],[Asset Class]],tblVCDBIndex[],4,FALSE),"")</f>
        <v>3</v>
      </c>
      <c r="G76" s="45" t="str">
        <f>IFERROR(VLOOKUP(10*tblRiskRegister15[[#This Row],[Safeguard Maturity Score]]+tblRiskRegister15[[#This Row],[VCDB Index]],tblHITIndexWeightTable[],4,FALSE),"")</f>
        <v/>
      </c>
      <c r="H76" s="45">
        <f>VLOOKUP(tblRiskRegister15[[#This Row],[Asset Class]],tblImpactIndex17[],2,FALSE)</f>
        <v>0</v>
      </c>
      <c r="I76" s="45">
        <f>VLOOKUP(tblRiskRegister15[[#This Row],[Asset Class]],tblImpactIndex17[],3,FALSE)</f>
        <v>0</v>
      </c>
      <c r="J76" s="45">
        <f>VLOOKUP(tblRiskRegister15[[#This Row],[Asset Class]],tblImpactIndex17[],4,FALSE)</f>
        <v>0</v>
      </c>
      <c r="K76" s="45" t="str">
        <f>IFERROR(MAX(tblRiskRegister15[[#This Row],[Impact to Mission]:[Impact to Obligations]])*tblRiskRegister15[[#This Row],[Expectancy Score]],"")</f>
        <v/>
      </c>
      <c r="L76" s="45" t="str">
        <f>tblRiskRegister15[[#This Row],[Risk Score]]</f>
        <v/>
      </c>
      <c r="M76" s="214"/>
      <c r="N76" s="29">
        <v>11.4</v>
      </c>
      <c r="O76" s="30" t="s">
        <v>132</v>
      </c>
      <c r="P76" s="30" t="s">
        <v>249</v>
      </c>
      <c r="Q76" s="24"/>
      <c r="R76" s="25"/>
      <c r="S76" s="46" t="str">
        <f>IFERROR(VLOOKUP(10*tblRiskRegister15[[#This Row],[Risk Treatment Safeguard Maturity Score]]+tblRiskRegister15[[#This Row],[VCDB Index]],tblHITIndexWeightTable[],4,FALSE),"")</f>
        <v/>
      </c>
      <c r="T76" s="46">
        <f>VLOOKUP(tblRiskRegister15[[#This Row],[Asset Class]],tblImpactIndex17[],2,FALSE)</f>
        <v>0</v>
      </c>
      <c r="U76" s="46">
        <f>VLOOKUP(tblRiskRegister15[[#This Row],[Asset Class]],tblImpactIndex17[],3,FALSE)</f>
        <v>0</v>
      </c>
      <c r="V76" s="46">
        <f>VLOOKUP(tblRiskRegister15[[#This Row],[Asset Class]],tblImpactIndex17[],4,FALSE)</f>
        <v>0</v>
      </c>
      <c r="W76" s="46" t="str">
        <f>IFERROR(MAX(tblRiskRegister15[[#This Row],[Risk Treatment Safeguard Impact to Mission]:[Risk Treatment Safeguard Impact to Obligations]])*tblRiskRegister15[[#This Row],[Risk Treatment
Safeguard Expectancy Score]],"")</f>
        <v/>
      </c>
      <c r="X76" s="46" t="str">
        <f>IF(tblRiskRegister15[[#This Row],[Risk Score]]&gt;5,IF(tblRiskRegister15[[#This Row],[Risk Treatment Safeguard Risk Score]]&lt;6, IF(tblRiskRegister15[[#This Row],[Risk Treatment Safeguard Risk Score]]&lt;=tblRiskRegister15[[#This Row],[Risk Score]],"Yes","No"),"No"),"Yes")</f>
        <v>No</v>
      </c>
      <c r="Y76" s="26"/>
      <c r="Z76" s="26"/>
      <c r="AA76" s="27"/>
    </row>
    <row r="77" spans="2:27" ht="51" x14ac:dyDescent="0.2">
      <c r="B77" s="29">
        <v>12.1</v>
      </c>
      <c r="C77" s="30" t="s">
        <v>133</v>
      </c>
      <c r="D77" s="30" t="s">
        <v>149</v>
      </c>
      <c r="E77" s="25"/>
      <c r="F77" s="48">
        <f>IFERROR(VLOOKUP(tblRiskRegister15[[#This Row],[Asset Class]],tblVCDBIndex[],4,FALSE),"")</f>
        <v>1</v>
      </c>
      <c r="G77" s="48" t="str">
        <f>IFERROR(VLOOKUP(10*tblRiskRegister15[[#This Row],[Safeguard Maturity Score]]+tblRiskRegister15[[#This Row],[VCDB Index]],tblHITIndexWeightTable[],4,FALSE),"")</f>
        <v/>
      </c>
      <c r="H77" s="48">
        <f>VLOOKUP(tblRiskRegister15[[#This Row],[Asset Class]],tblImpactIndex17[],2,FALSE)</f>
        <v>0</v>
      </c>
      <c r="I77" s="48">
        <f>VLOOKUP(tblRiskRegister15[[#This Row],[Asset Class]],tblImpactIndex17[],3,FALSE)</f>
        <v>0</v>
      </c>
      <c r="J77" s="48">
        <f>VLOOKUP(tblRiskRegister15[[#This Row],[Asset Class]],tblImpactIndex17[],4,FALSE)</f>
        <v>0</v>
      </c>
      <c r="K77" s="48" t="str">
        <f>IFERROR(MAX(tblRiskRegister15[[#This Row],[Impact to Mission]:[Impact to Obligations]])*tblRiskRegister15[[#This Row],[Expectancy Score]],"")</f>
        <v/>
      </c>
      <c r="L77" s="48" t="str">
        <f>tblRiskRegister15[[#This Row],[Risk Score]]</f>
        <v/>
      </c>
      <c r="M77" s="214"/>
      <c r="N77" s="29">
        <v>12.1</v>
      </c>
      <c r="O77" s="30" t="s">
        <v>133</v>
      </c>
      <c r="P77" s="30" t="s">
        <v>250</v>
      </c>
      <c r="Q77" s="49"/>
      <c r="R77" s="25"/>
      <c r="S77" s="46" t="str">
        <f>IFERROR(VLOOKUP(10*tblRiskRegister15[[#This Row],[Risk Treatment Safeguard Maturity Score]]+tblRiskRegister15[[#This Row],[VCDB Index]],tblHITIndexWeightTable[],4,FALSE),"")</f>
        <v/>
      </c>
      <c r="T77" s="46">
        <f>VLOOKUP(tblRiskRegister15[[#This Row],[Asset Class]],tblImpactIndex17[],2,FALSE)</f>
        <v>0</v>
      </c>
      <c r="U77" s="46">
        <f>VLOOKUP(tblRiskRegister15[[#This Row],[Asset Class]],tblImpactIndex17[],3,FALSE)</f>
        <v>0</v>
      </c>
      <c r="V77" s="46">
        <f>VLOOKUP(tblRiskRegister15[[#This Row],[Asset Class]],tblImpactIndex17[],4,FALSE)</f>
        <v>0</v>
      </c>
      <c r="W77" s="46" t="str">
        <f>IFERROR(MAX(tblRiskRegister15[[#This Row],[Risk Treatment Safeguard Impact to Mission]:[Risk Treatment Safeguard Impact to Obligations]])*tblRiskRegister15[[#This Row],[Risk Treatment
Safeguard Expectancy Score]],"")</f>
        <v/>
      </c>
      <c r="X77" s="46" t="str">
        <f>IF(tblRiskRegister15[[#This Row],[Risk Score]]&gt;5,IF(tblRiskRegister15[[#This Row],[Risk Treatment Safeguard Risk Score]]&lt;6, IF(tblRiskRegister15[[#This Row],[Risk Treatment Safeguard Risk Score]]&lt;=tblRiskRegister15[[#This Row],[Risk Score]],"Yes","No"),"No"),"Yes")</f>
        <v>No</v>
      </c>
      <c r="Y77" s="26"/>
      <c r="Z77" s="26"/>
      <c r="AA77" s="27"/>
    </row>
    <row r="78" spans="2:27" ht="63.75" x14ac:dyDescent="0.2">
      <c r="B78" s="29">
        <v>14.1</v>
      </c>
      <c r="C78" s="30" t="s">
        <v>134</v>
      </c>
      <c r="D78" s="30" t="s">
        <v>151</v>
      </c>
      <c r="E78" s="25"/>
      <c r="F78" s="48">
        <f>IFERROR(VLOOKUP(tblRiskRegister15[[#This Row],[Asset Class]],tblVCDBIndex[],4,FALSE),"")</f>
        <v>3</v>
      </c>
      <c r="G78" s="48" t="str">
        <f>IFERROR(VLOOKUP(10*tblRiskRegister15[[#This Row],[Safeguard Maturity Score]]+tblRiskRegister15[[#This Row],[VCDB Index]],tblHITIndexWeightTable[],4,FALSE),"")</f>
        <v/>
      </c>
      <c r="H78" s="48">
        <f>VLOOKUP(tblRiskRegister15[[#This Row],[Asset Class]],tblImpactIndex17[],2,FALSE)</f>
        <v>0</v>
      </c>
      <c r="I78" s="48">
        <f>VLOOKUP(tblRiskRegister15[[#This Row],[Asset Class]],tblImpactIndex17[],3,FALSE)</f>
        <v>0</v>
      </c>
      <c r="J78" s="48">
        <f>VLOOKUP(tblRiskRegister15[[#This Row],[Asset Class]],tblImpactIndex17[],4,FALSE)</f>
        <v>0</v>
      </c>
      <c r="K78" s="48" t="str">
        <f>IFERROR(MAX(tblRiskRegister15[[#This Row],[Impact to Mission]:[Impact to Obligations]])*tblRiskRegister15[[#This Row],[Expectancy Score]],"")</f>
        <v/>
      </c>
      <c r="L78" s="48" t="str">
        <f>tblRiskRegister15[[#This Row],[Risk Score]]</f>
        <v/>
      </c>
      <c r="M78" s="214"/>
      <c r="N78" s="29">
        <v>14.1</v>
      </c>
      <c r="O78" s="30" t="s">
        <v>134</v>
      </c>
      <c r="P78" s="30" t="s">
        <v>251</v>
      </c>
      <c r="Q78" s="49"/>
      <c r="R78" s="25"/>
      <c r="S78" s="46" t="str">
        <f>IFERROR(VLOOKUP(10*tblRiskRegister15[[#This Row],[Risk Treatment Safeguard Maturity Score]]+tblRiskRegister15[[#This Row],[VCDB Index]],tblHITIndexWeightTable[],4,FALSE),"")</f>
        <v/>
      </c>
      <c r="T78" s="46">
        <f>VLOOKUP(tblRiskRegister15[[#This Row],[Asset Class]],tblImpactIndex17[],2,FALSE)</f>
        <v>0</v>
      </c>
      <c r="U78" s="46">
        <f>VLOOKUP(tblRiskRegister15[[#This Row],[Asset Class]],tblImpactIndex17[],3,FALSE)</f>
        <v>0</v>
      </c>
      <c r="V78" s="46">
        <f>VLOOKUP(tblRiskRegister15[[#This Row],[Asset Class]],tblImpactIndex17[],4,FALSE)</f>
        <v>0</v>
      </c>
      <c r="W78" s="46" t="str">
        <f>IFERROR(MAX(tblRiskRegister15[[#This Row],[Risk Treatment Safeguard Impact to Mission]:[Risk Treatment Safeguard Impact to Obligations]])*tblRiskRegister15[[#This Row],[Risk Treatment
Safeguard Expectancy Score]],"")</f>
        <v/>
      </c>
      <c r="X78" s="46" t="str">
        <f>IF(tblRiskRegister15[[#This Row],[Risk Score]]&gt;5,IF(tblRiskRegister15[[#This Row],[Risk Treatment Safeguard Risk Score]]&lt;6, IF(tblRiskRegister15[[#This Row],[Risk Treatment Safeguard Risk Score]]&lt;=tblRiskRegister15[[#This Row],[Risk Score]],"Yes","No"),"No"),"Yes")</f>
        <v>No</v>
      </c>
      <c r="Y78" s="26"/>
      <c r="Z78" s="26"/>
      <c r="AA78" s="27"/>
    </row>
    <row r="79" spans="2:27" ht="51" x14ac:dyDescent="0.2">
      <c r="B79" s="29">
        <v>14.2</v>
      </c>
      <c r="C79" s="30" t="s">
        <v>135</v>
      </c>
      <c r="D79" s="30" t="s">
        <v>151</v>
      </c>
      <c r="E79" s="25"/>
      <c r="F79" s="48">
        <f>IFERROR(VLOOKUP(tblRiskRegister15[[#This Row],[Asset Class]],tblVCDBIndex[],4,FALSE),"")</f>
        <v>3</v>
      </c>
      <c r="G79" s="48" t="str">
        <f>IFERROR(VLOOKUP(10*tblRiskRegister15[[#This Row],[Safeguard Maturity Score]]+tblRiskRegister15[[#This Row],[VCDB Index]],tblHITIndexWeightTable[],4,FALSE),"")</f>
        <v/>
      </c>
      <c r="H79" s="48">
        <f>VLOOKUP(tblRiskRegister15[[#This Row],[Asset Class]],tblImpactIndex17[],2,FALSE)</f>
        <v>0</v>
      </c>
      <c r="I79" s="48">
        <f>VLOOKUP(tblRiskRegister15[[#This Row],[Asset Class]],tblImpactIndex17[],3,FALSE)</f>
        <v>0</v>
      </c>
      <c r="J79" s="48">
        <f>VLOOKUP(tblRiskRegister15[[#This Row],[Asset Class]],tblImpactIndex17[],4,FALSE)</f>
        <v>0</v>
      </c>
      <c r="K79" s="48" t="str">
        <f>IFERROR(MAX(tblRiskRegister15[[#This Row],[Impact to Mission]:[Impact to Obligations]])*tblRiskRegister15[[#This Row],[Expectancy Score]],"")</f>
        <v/>
      </c>
      <c r="L79" s="48" t="str">
        <f>tblRiskRegister15[[#This Row],[Risk Score]]</f>
        <v/>
      </c>
      <c r="M79" s="214"/>
      <c r="N79" s="29">
        <v>14.2</v>
      </c>
      <c r="O79" s="30" t="s">
        <v>135</v>
      </c>
      <c r="P79" s="30" t="s">
        <v>252</v>
      </c>
      <c r="Q79" s="49"/>
      <c r="R79" s="25"/>
      <c r="S79" s="46" t="str">
        <f>IFERROR(VLOOKUP(10*tblRiskRegister15[[#This Row],[Risk Treatment Safeguard Maturity Score]]+tblRiskRegister15[[#This Row],[VCDB Index]],tblHITIndexWeightTable[],4,FALSE),"")</f>
        <v/>
      </c>
      <c r="T79" s="46">
        <f>VLOOKUP(tblRiskRegister15[[#This Row],[Asset Class]],tblImpactIndex17[],2,FALSE)</f>
        <v>0</v>
      </c>
      <c r="U79" s="46">
        <f>VLOOKUP(tblRiskRegister15[[#This Row],[Asset Class]],tblImpactIndex17[],3,FALSE)</f>
        <v>0</v>
      </c>
      <c r="V79" s="46">
        <f>VLOOKUP(tblRiskRegister15[[#This Row],[Asset Class]],tblImpactIndex17[],4,FALSE)</f>
        <v>0</v>
      </c>
      <c r="W79" s="46" t="str">
        <f>IFERROR(MAX(tblRiskRegister15[[#This Row],[Risk Treatment Safeguard Impact to Mission]:[Risk Treatment Safeguard Impact to Obligations]])*tblRiskRegister15[[#This Row],[Risk Treatment
Safeguard Expectancy Score]],"")</f>
        <v/>
      </c>
      <c r="X79" s="46" t="str">
        <f>IF(tblRiskRegister15[[#This Row],[Risk Score]]&gt;5,IF(tblRiskRegister15[[#This Row],[Risk Treatment Safeguard Risk Score]]&lt;6, IF(tblRiskRegister15[[#This Row],[Risk Treatment Safeguard Risk Score]]&lt;=tblRiskRegister15[[#This Row],[Risk Score]],"Yes","No"),"No"),"Yes")</f>
        <v>No</v>
      </c>
      <c r="Y79" s="26"/>
      <c r="Z79" s="26"/>
      <c r="AA79" s="27"/>
    </row>
    <row r="80" spans="2:27" ht="51" x14ac:dyDescent="0.2">
      <c r="B80" s="29">
        <v>14.3</v>
      </c>
      <c r="C80" s="30" t="s">
        <v>136</v>
      </c>
      <c r="D80" s="30" t="s">
        <v>151</v>
      </c>
      <c r="E80" s="25"/>
      <c r="F80" s="48">
        <f>IFERROR(VLOOKUP(tblRiskRegister15[[#This Row],[Asset Class]],tblVCDBIndex[],4,FALSE),"")</f>
        <v>3</v>
      </c>
      <c r="G80" s="48" t="str">
        <f>IFERROR(VLOOKUP(10*tblRiskRegister15[[#This Row],[Safeguard Maturity Score]]+tblRiskRegister15[[#This Row],[VCDB Index]],tblHITIndexWeightTable[],4,FALSE),"")</f>
        <v/>
      </c>
      <c r="H80" s="48">
        <f>VLOOKUP(tblRiskRegister15[[#This Row],[Asset Class]],tblImpactIndex17[],2,FALSE)</f>
        <v>0</v>
      </c>
      <c r="I80" s="48">
        <f>VLOOKUP(tblRiskRegister15[[#This Row],[Asset Class]],tblImpactIndex17[],3,FALSE)</f>
        <v>0</v>
      </c>
      <c r="J80" s="48">
        <f>VLOOKUP(tblRiskRegister15[[#This Row],[Asset Class]],tblImpactIndex17[],4,FALSE)</f>
        <v>0</v>
      </c>
      <c r="K80" s="48" t="str">
        <f>IFERROR(MAX(tblRiskRegister15[[#This Row],[Impact to Mission]:[Impact to Obligations]])*tblRiskRegister15[[#This Row],[Expectancy Score]],"")</f>
        <v/>
      </c>
      <c r="L80" s="48" t="str">
        <f>tblRiskRegister15[[#This Row],[Risk Score]]</f>
        <v/>
      </c>
      <c r="M80" s="214"/>
      <c r="N80" s="29">
        <v>14.3</v>
      </c>
      <c r="O80" s="30" t="s">
        <v>136</v>
      </c>
      <c r="P80" s="30" t="s">
        <v>253</v>
      </c>
      <c r="Q80" s="49"/>
      <c r="R80" s="25"/>
      <c r="S80" s="46" t="str">
        <f>IFERROR(VLOOKUP(10*tblRiskRegister15[[#This Row],[Risk Treatment Safeguard Maturity Score]]+tblRiskRegister15[[#This Row],[VCDB Index]],tblHITIndexWeightTable[],4,FALSE),"")</f>
        <v/>
      </c>
      <c r="T80" s="46">
        <f>VLOOKUP(tblRiskRegister15[[#This Row],[Asset Class]],tblImpactIndex17[],2,FALSE)</f>
        <v>0</v>
      </c>
      <c r="U80" s="46">
        <f>VLOOKUP(tblRiskRegister15[[#This Row],[Asset Class]],tblImpactIndex17[],3,FALSE)</f>
        <v>0</v>
      </c>
      <c r="V80" s="46">
        <f>VLOOKUP(tblRiskRegister15[[#This Row],[Asset Class]],tblImpactIndex17[],4,FALSE)</f>
        <v>0</v>
      </c>
      <c r="W80" s="46" t="str">
        <f>IFERROR(MAX(tblRiskRegister15[[#This Row],[Risk Treatment Safeguard Impact to Mission]:[Risk Treatment Safeguard Impact to Obligations]])*tblRiskRegister15[[#This Row],[Risk Treatment
Safeguard Expectancy Score]],"")</f>
        <v/>
      </c>
      <c r="X80" s="46" t="str">
        <f>IF(tblRiskRegister15[[#This Row],[Risk Score]]&gt;5,IF(tblRiskRegister15[[#This Row],[Risk Treatment Safeguard Risk Score]]&lt;6, IF(tblRiskRegister15[[#This Row],[Risk Treatment Safeguard Risk Score]]&lt;=tblRiskRegister15[[#This Row],[Risk Score]],"Yes","No"),"No"),"Yes")</f>
        <v>No</v>
      </c>
      <c r="Y80" s="26"/>
      <c r="Z80" s="26"/>
      <c r="AA80" s="27"/>
    </row>
    <row r="81" spans="2:27" ht="63.75" x14ac:dyDescent="0.2">
      <c r="B81" s="29">
        <v>14.4</v>
      </c>
      <c r="C81" s="30" t="s">
        <v>137</v>
      </c>
      <c r="D81" s="30" t="s">
        <v>151</v>
      </c>
      <c r="E81" s="25"/>
      <c r="F81" s="48">
        <f>IFERROR(VLOOKUP(tblRiskRegister15[[#This Row],[Asset Class]],tblVCDBIndex[],4,FALSE),"")</f>
        <v>3</v>
      </c>
      <c r="G81" s="48" t="str">
        <f>IFERROR(VLOOKUP(10*tblRiskRegister15[[#This Row],[Safeguard Maturity Score]]+tblRiskRegister15[[#This Row],[VCDB Index]],tblHITIndexWeightTable[],4,FALSE),"")</f>
        <v/>
      </c>
      <c r="H81" s="48">
        <f>VLOOKUP(tblRiskRegister15[[#This Row],[Asset Class]],tblImpactIndex17[],2,FALSE)</f>
        <v>0</v>
      </c>
      <c r="I81" s="48">
        <f>VLOOKUP(tblRiskRegister15[[#This Row],[Asset Class]],tblImpactIndex17[],3,FALSE)</f>
        <v>0</v>
      </c>
      <c r="J81" s="48">
        <f>VLOOKUP(tblRiskRegister15[[#This Row],[Asset Class]],tblImpactIndex17[],4,FALSE)</f>
        <v>0</v>
      </c>
      <c r="K81" s="48" t="str">
        <f>IFERROR(MAX(tblRiskRegister15[[#This Row],[Impact to Mission]:[Impact to Obligations]])*tblRiskRegister15[[#This Row],[Expectancy Score]],"")</f>
        <v/>
      </c>
      <c r="L81" s="48" t="str">
        <f>tblRiskRegister15[[#This Row],[Risk Score]]</f>
        <v/>
      </c>
      <c r="M81" s="214"/>
      <c r="N81" s="29">
        <v>14.4</v>
      </c>
      <c r="O81" s="30" t="s">
        <v>137</v>
      </c>
      <c r="P81" s="30" t="s">
        <v>254</v>
      </c>
      <c r="Q81" s="49"/>
      <c r="R81" s="25"/>
      <c r="S81" s="46" t="str">
        <f>IFERROR(VLOOKUP(10*tblRiskRegister15[[#This Row],[Risk Treatment Safeguard Maturity Score]]+tblRiskRegister15[[#This Row],[VCDB Index]],tblHITIndexWeightTable[],4,FALSE),"")</f>
        <v/>
      </c>
      <c r="T81" s="46">
        <f>VLOOKUP(tblRiskRegister15[[#This Row],[Asset Class]],tblImpactIndex17[],2,FALSE)</f>
        <v>0</v>
      </c>
      <c r="U81" s="46">
        <f>VLOOKUP(tblRiskRegister15[[#This Row],[Asset Class]],tblImpactIndex17[],3,FALSE)</f>
        <v>0</v>
      </c>
      <c r="V81" s="46">
        <f>VLOOKUP(tblRiskRegister15[[#This Row],[Asset Class]],tblImpactIndex17[],4,FALSE)</f>
        <v>0</v>
      </c>
      <c r="W81" s="46" t="str">
        <f>IFERROR(MAX(tblRiskRegister15[[#This Row],[Risk Treatment Safeguard Impact to Mission]:[Risk Treatment Safeguard Impact to Obligations]])*tblRiskRegister15[[#This Row],[Risk Treatment
Safeguard Expectancy Score]],"")</f>
        <v/>
      </c>
      <c r="X81" s="46" t="str">
        <f>IF(tblRiskRegister15[[#This Row],[Risk Score]]&gt;5,IF(tblRiskRegister15[[#This Row],[Risk Treatment Safeguard Risk Score]]&lt;6, IF(tblRiskRegister15[[#This Row],[Risk Treatment Safeguard Risk Score]]&lt;=tblRiskRegister15[[#This Row],[Risk Score]],"Yes","No"),"No"),"Yes")</f>
        <v>No</v>
      </c>
      <c r="Y81" s="26"/>
      <c r="Z81" s="26"/>
      <c r="AA81" s="27"/>
    </row>
    <row r="82" spans="2:27" ht="51" x14ac:dyDescent="0.2">
      <c r="B82" s="29">
        <v>14.5</v>
      </c>
      <c r="C82" s="30" t="s">
        <v>138</v>
      </c>
      <c r="D82" s="30" t="s">
        <v>151</v>
      </c>
      <c r="E82" s="25"/>
      <c r="F82" s="48">
        <f>IFERROR(VLOOKUP(tblRiskRegister15[[#This Row],[Asset Class]],tblVCDBIndex[],4,FALSE),"")</f>
        <v>3</v>
      </c>
      <c r="G82" s="48" t="str">
        <f>IFERROR(VLOOKUP(10*tblRiskRegister15[[#This Row],[Safeguard Maturity Score]]+tblRiskRegister15[[#This Row],[VCDB Index]],tblHITIndexWeightTable[],4,FALSE),"")</f>
        <v/>
      </c>
      <c r="H82" s="48">
        <f>VLOOKUP(tblRiskRegister15[[#This Row],[Asset Class]],tblImpactIndex17[],2,FALSE)</f>
        <v>0</v>
      </c>
      <c r="I82" s="48">
        <f>VLOOKUP(tblRiskRegister15[[#This Row],[Asset Class]],tblImpactIndex17[],3,FALSE)</f>
        <v>0</v>
      </c>
      <c r="J82" s="48">
        <f>VLOOKUP(tblRiskRegister15[[#This Row],[Asset Class]],tblImpactIndex17[],4,FALSE)</f>
        <v>0</v>
      </c>
      <c r="K82" s="48" t="str">
        <f>IFERROR(MAX(tblRiskRegister15[[#This Row],[Impact to Mission]:[Impact to Obligations]])*tblRiskRegister15[[#This Row],[Expectancy Score]],"")</f>
        <v/>
      </c>
      <c r="L82" s="48" t="str">
        <f>tblRiskRegister15[[#This Row],[Risk Score]]</f>
        <v/>
      </c>
      <c r="M82" s="214"/>
      <c r="N82" s="29">
        <v>14.5</v>
      </c>
      <c r="O82" s="30" t="s">
        <v>138</v>
      </c>
      <c r="P82" s="30" t="s">
        <v>255</v>
      </c>
      <c r="Q82" s="49"/>
      <c r="R82" s="25"/>
      <c r="S82" s="46" t="str">
        <f>IFERROR(VLOOKUP(10*tblRiskRegister15[[#This Row],[Risk Treatment Safeguard Maturity Score]]+tblRiskRegister15[[#This Row],[VCDB Index]],tblHITIndexWeightTable[],4,FALSE),"")</f>
        <v/>
      </c>
      <c r="T82" s="46">
        <f>VLOOKUP(tblRiskRegister15[[#This Row],[Asset Class]],tblImpactIndex17[],2,FALSE)</f>
        <v>0</v>
      </c>
      <c r="U82" s="46">
        <f>VLOOKUP(tblRiskRegister15[[#This Row],[Asset Class]],tblImpactIndex17[],3,FALSE)</f>
        <v>0</v>
      </c>
      <c r="V82" s="46">
        <f>VLOOKUP(tblRiskRegister15[[#This Row],[Asset Class]],tblImpactIndex17[],4,FALSE)</f>
        <v>0</v>
      </c>
      <c r="W82" s="46" t="str">
        <f>IFERROR(MAX(tblRiskRegister15[[#This Row],[Risk Treatment Safeguard Impact to Mission]:[Risk Treatment Safeguard Impact to Obligations]])*tblRiskRegister15[[#This Row],[Risk Treatment
Safeguard Expectancy Score]],"")</f>
        <v/>
      </c>
      <c r="X82" s="46" t="str">
        <f>IF(tblRiskRegister15[[#This Row],[Risk Score]]&gt;5,IF(tblRiskRegister15[[#This Row],[Risk Treatment Safeguard Risk Score]]&lt;6, IF(tblRiskRegister15[[#This Row],[Risk Treatment Safeguard Risk Score]]&lt;=tblRiskRegister15[[#This Row],[Risk Score]],"Yes","No"),"No"),"Yes")</f>
        <v>No</v>
      </c>
      <c r="Y82" s="26"/>
      <c r="Z82" s="26"/>
      <c r="AA82" s="27"/>
    </row>
    <row r="83" spans="2:27" ht="63.75" x14ac:dyDescent="0.2">
      <c r="B83" s="29">
        <v>14.6</v>
      </c>
      <c r="C83" s="30" t="s">
        <v>139</v>
      </c>
      <c r="D83" s="30" t="s">
        <v>151</v>
      </c>
      <c r="E83" s="25"/>
      <c r="F83" s="48">
        <f>IFERROR(VLOOKUP(tblRiskRegister15[[#This Row],[Asset Class]],tblVCDBIndex[],4,FALSE),"")</f>
        <v>3</v>
      </c>
      <c r="G83" s="48" t="str">
        <f>IFERROR(VLOOKUP(10*tblRiskRegister15[[#This Row],[Safeguard Maturity Score]]+tblRiskRegister15[[#This Row],[VCDB Index]],tblHITIndexWeightTable[],4,FALSE),"")</f>
        <v/>
      </c>
      <c r="H83" s="48">
        <f>VLOOKUP(tblRiskRegister15[[#This Row],[Asset Class]],tblImpactIndex17[],2,FALSE)</f>
        <v>0</v>
      </c>
      <c r="I83" s="48">
        <f>VLOOKUP(tblRiskRegister15[[#This Row],[Asset Class]],tblImpactIndex17[],3,FALSE)</f>
        <v>0</v>
      </c>
      <c r="J83" s="48">
        <f>VLOOKUP(tblRiskRegister15[[#This Row],[Asset Class]],tblImpactIndex17[],4,FALSE)</f>
        <v>0</v>
      </c>
      <c r="K83" s="48" t="str">
        <f>IFERROR(MAX(tblRiskRegister15[[#This Row],[Impact to Mission]:[Impact to Obligations]])*tblRiskRegister15[[#This Row],[Expectancy Score]],"")</f>
        <v/>
      </c>
      <c r="L83" s="48" t="str">
        <f>tblRiskRegister15[[#This Row],[Risk Score]]</f>
        <v/>
      </c>
      <c r="M83" s="214"/>
      <c r="N83" s="29">
        <v>14.6</v>
      </c>
      <c r="O83" s="30" t="s">
        <v>139</v>
      </c>
      <c r="P83" s="30" t="s">
        <v>256</v>
      </c>
      <c r="Q83" s="49"/>
      <c r="R83" s="25"/>
      <c r="S83" s="46" t="str">
        <f>IFERROR(VLOOKUP(10*tblRiskRegister15[[#This Row],[Risk Treatment Safeguard Maturity Score]]+tblRiskRegister15[[#This Row],[VCDB Index]],tblHITIndexWeightTable[],4,FALSE),"")</f>
        <v/>
      </c>
      <c r="T83" s="46">
        <f>VLOOKUP(tblRiskRegister15[[#This Row],[Asset Class]],tblImpactIndex17[],2,FALSE)</f>
        <v>0</v>
      </c>
      <c r="U83" s="46">
        <f>VLOOKUP(tblRiskRegister15[[#This Row],[Asset Class]],tblImpactIndex17[],3,FALSE)</f>
        <v>0</v>
      </c>
      <c r="V83" s="46">
        <f>VLOOKUP(tblRiskRegister15[[#This Row],[Asset Class]],tblImpactIndex17[],4,FALSE)</f>
        <v>0</v>
      </c>
      <c r="W83" s="46" t="str">
        <f>IFERROR(MAX(tblRiskRegister15[[#This Row],[Risk Treatment Safeguard Impact to Mission]:[Risk Treatment Safeguard Impact to Obligations]])*tblRiskRegister15[[#This Row],[Risk Treatment
Safeguard Expectancy Score]],"")</f>
        <v/>
      </c>
      <c r="X83" s="46" t="str">
        <f>IF(tblRiskRegister15[[#This Row],[Risk Score]]&gt;5,IF(tblRiskRegister15[[#This Row],[Risk Treatment Safeguard Risk Score]]&lt;6, IF(tblRiskRegister15[[#This Row],[Risk Treatment Safeguard Risk Score]]&lt;=tblRiskRegister15[[#This Row],[Risk Score]],"Yes","No"),"No"),"Yes")</f>
        <v>No</v>
      </c>
      <c r="Y83" s="26"/>
      <c r="Z83" s="26"/>
      <c r="AA83" s="27"/>
    </row>
    <row r="84" spans="2:27" ht="76.5" x14ac:dyDescent="0.2">
      <c r="B84" s="29">
        <v>14.7</v>
      </c>
      <c r="C84" s="30" t="s">
        <v>140</v>
      </c>
      <c r="D84" s="30" t="s">
        <v>151</v>
      </c>
      <c r="E84" s="25"/>
      <c r="F84" s="48">
        <f>IFERROR(VLOOKUP(tblRiskRegister15[[#This Row],[Asset Class]],tblVCDBIndex[],4,FALSE),"")</f>
        <v>3</v>
      </c>
      <c r="G84" s="48" t="str">
        <f>IFERROR(VLOOKUP(10*tblRiskRegister15[[#This Row],[Safeguard Maturity Score]]+tblRiskRegister15[[#This Row],[VCDB Index]],tblHITIndexWeightTable[],4,FALSE),"")</f>
        <v/>
      </c>
      <c r="H84" s="48">
        <f>VLOOKUP(tblRiskRegister15[[#This Row],[Asset Class]],tblImpactIndex17[],2,FALSE)</f>
        <v>0</v>
      </c>
      <c r="I84" s="48">
        <f>VLOOKUP(tblRiskRegister15[[#This Row],[Asset Class]],tblImpactIndex17[],3,FALSE)</f>
        <v>0</v>
      </c>
      <c r="J84" s="48">
        <f>VLOOKUP(tblRiskRegister15[[#This Row],[Asset Class]],tblImpactIndex17[],4,FALSE)</f>
        <v>0</v>
      </c>
      <c r="K84" s="48" t="str">
        <f>IFERROR(MAX(tblRiskRegister15[[#This Row],[Impact to Mission]:[Impact to Obligations]])*tblRiskRegister15[[#This Row],[Expectancy Score]],"")</f>
        <v/>
      </c>
      <c r="L84" s="48" t="str">
        <f>tblRiskRegister15[[#This Row],[Risk Score]]</f>
        <v/>
      </c>
      <c r="M84" s="214"/>
      <c r="N84" s="29">
        <v>14.7</v>
      </c>
      <c r="O84" s="30" t="s">
        <v>140</v>
      </c>
      <c r="P84" s="30" t="s">
        <v>257</v>
      </c>
      <c r="Q84" s="49"/>
      <c r="R84" s="25"/>
      <c r="S84" s="46" t="str">
        <f>IFERROR(VLOOKUP(10*tblRiskRegister15[[#This Row],[Risk Treatment Safeguard Maturity Score]]+tblRiskRegister15[[#This Row],[VCDB Index]],tblHITIndexWeightTable[],4,FALSE),"")</f>
        <v/>
      </c>
      <c r="T84" s="46">
        <f>VLOOKUP(tblRiskRegister15[[#This Row],[Asset Class]],tblImpactIndex17[],2,FALSE)</f>
        <v>0</v>
      </c>
      <c r="U84" s="46">
        <f>VLOOKUP(tblRiskRegister15[[#This Row],[Asset Class]],tblImpactIndex17[],3,FALSE)</f>
        <v>0</v>
      </c>
      <c r="V84" s="46">
        <f>VLOOKUP(tblRiskRegister15[[#This Row],[Asset Class]],tblImpactIndex17[],4,FALSE)</f>
        <v>0</v>
      </c>
      <c r="W84" s="46" t="str">
        <f>IFERROR(MAX(tblRiskRegister15[[#This Row],[Risk Treatment Safeguard Impact to Mission]:[Risk Treatment Safeguard Impact to Obligations]])*tblRiskRegister15[[#This Row],[Risk Treatment
Safeguard Expectancy Score]],"")</f>
        <v/>
      </c>
      <c r="X84" s="46" t="str">
        <f>IF(tblRiskRegister15[[#This Row],[Risk Score]]&gt;5,IF(tblRiskRegister15[[#This Row],[Risk Treatment Safeguard Risk Score]]&lt;6, IF(tblRiskRegister15[[#This Row],[Risk Treatment Safeguard Risk Score]]&lt;=tblRiskRegister15[[#This Row],[Risk Score]],"Yes","No"),"No"),"Yes")</f>
        <v>No</v>
      </c>
      <c r="Y84" s="26"/>
      <c r="Z84" s="26"/>
      <c r="AA84" s="27"/>
    </row>
    <row r="85" spans="2:27" ht="63.75" x14ac:dyDescent="0.2">
      <c r="B85" s="29">
        <v>14.8</v>
      </c>
      <c r="C85" s="30" t="s">
        <v>141</v>
      </c>
      <c r="D85" s="30" t="s">
        <v>151</v>
      </c>
      <c r="E85" s="25"/>
      <c r="F85" s="48">
        <f>IFERROR(VLOOKUP(tblRiskRegister15[[#This Row],[Asset Class]],tblVCDBIndex[],4,FALSE),"")</f>
        <v>3</v>
      </c>
      <c r="G85" s="48" t="str">
        <f>IFERROR(VLOOKUP(10*tblRiskRegister15[[#This Row],[Safeguard Maturity Score]]+tblRiskRegister15[[#This Row],[VCDB Index]],tblHITIndexWeightTable[],4,FALSE),"")</f>
        <v/>
      </c>
      <c r="H85" s="48">
        <f>VLOOKUP(tblRiskRegister15[[#This Row],[Asset Class]],tblImpactIndex17[],2,FALSE)</f>
        <v>0</v>
      </c>
      <c r="I85" s="48">
        <f>VLOOKUP(tblRiskRegister15[[#This Row],[Asset Class]],tblImpactIndex17[],3,FALSE)</f>
        <v>0</v>
      </c>
      <c r="J85" s="48">
        <f>VLOOKUP(tblRiskRegister15[[#This Row],[Asset Class]],tblImpactIndex17[],4,FALSE)</f>
        <v>0</v>
      </c>
      <c r="K85" s="48" t="str">
        <f>IFERROR(MAX(tblRiskRegister15[[#This Row],[Impact to Mission]:[Impact to Obligations]])*tblRiskRegister15[[#This Row],[Expectancy Score]],"")</f>
        <v/>
      </c>
      <c r="L85" s="48" t="str">
        <f>tblRiskRegister15[[#This Row],[Risk Score]]</f>
        <v/>
      </c>
      <c r="M85" s="214"/>
      <c r="N85" s="29">
        <v>14.8</v>
      </c>
      <c r="O85" s="30" t="s">
        <v>141</v>
      </c>
      <c r="P85" s="30" t="s">
        <v>258</v>
      </c>
      <c r="Q85" s="49"/>
      <c r="R85" s="25"/>
      <c r="S85" s="46" t="str">
        <f>IFERROR(VLOOKUP(10*tblRiskRegister15[[#This Row],[Risk Treatment Safeguard Maturity Score]]+tblRiskRegister15[[#This Row],[VCDB Index]],tblHITIndexWeightTable[],4,FALSE),"")</f>
        <v/>
      </c>
      <c r="T85" s="46">
        <f>VLOOKUP(tblRiskRegister15[[#This Row],[Asset Class]],tblImpactIndex17[],2,FALSE)</f>
        <v>0</v>
      </c>
      <c r="U85" s="46">
        <f>VLOOKUP(tblRiskRegister15[[#This Row],[Asset Class]],tblImpactIndex17[],3,FALSE)</f>
        <v>0</v>
      </c>
      <c r="V85" s="46">
        <f>VLOOKUP(tblRiskRegister15[[#This Row],[Asset Class]],tblImpactIndex17[],4,FALSE)</f>
        <v>0</v>
      </c>
      <c r="W85" s="46" t="str">
        <f>IFERROR(MAX(tblRiskRegister15[[#This Row],[Risk Treatment Safeguard Impact to Mission]:[Risk Treatment Safeguard Impact to Obligations]])*tblRiskRegister15[[#This Row],[Risk Treatment
Safeguard Expectancy Score]],"")</f>
        <v/>
      </c>
      <c r="X85" s="46" t="str">
        <f>IF(tblRiskRegister15[[#This Row],[Risk Score]]&gt;5,IF(tblRiskRegister15[[#This Row],[Risk Treatment Safeguard Risk Score]]&lt;6, IF(tblRiskRegister15[[#This Row],[Risk Treatment Safeguard Risk Score]]&lt;=tblRiskRegister15[[#This Row],[Risk Score]],"Yes","No"),"No"),"Yes")</f>
        <v>No</v>
      </c>
      <c r="Y85" s="26"/>
      <c r="Z85" s="26"/>
      <c r="AA85" s="27"/>
    </row>
    <row r="86" spans="2:27" ht="51" x14ac:dyDescent="0.2">
      <c r="B86" s="29">
        <v>15.1</v>
      </c>
      <c r="C86" s="30" t="s">
        <v>142</v>
      </c>
      <c r="D86" s="30" t="s">
        <v>151</v>
      </c>
      <c r="E86" s="25"/>
      <c r="F86" s="48">
        <f>IFERROR(VLOOKUP(tblRiskRegister15[[#This Row],[Asset Class]],tblVCDBIndex[],4,FALSE),"")</f>
        <v>3</v>
      </c>
      <c r="G86" s="48" t="str">
        <f>IFERROR(VLOOKUP(10*tblRiskRegister15[[#This Row],[Safeguard Maturity Score]]+tblRiskRegister15[[#This Row],[VCDB Index]],tblHITIndexWeightTable[],4,FALSE),"")</f>
        <v/>
      </c>
      <c r="H86" s="48">
        <f>VLOOKUP(tblRiskRegister15[[#This Row],[Asset Class]],tblImpactIndex17[],2,FALSE)</f>
        <v>0</v>
      </c>
      <c r="I86" s="48">
        <f>VLOOKUP(tblRiskRegister15[[#This Row],[Asset Class]],tblImpactIndex17[],3,FALSE)</f>
        <v>0</v>
      </c>
      <c r="J86" s="48">
        <f>VLOOKUP(tblRiskRegister15[[#This Row],[Asset Class]],tblImpactIndex17[],4,FALSE)</f>
        <v>0</v>
      </c>
      <c r="K86" s="48" t="str">
        <f>IFERROR(MAX(tblRiskRegister15[[#This Row],[Impact to Mission]:[Impact to Obligations]])*tblRiskRegister15[[#This Row],[Expectancy Score]],"")</f>
        <v/>
      </c>
      <c r="L86" s="48" t="str">
        <f>tblRiskRegister15[[#This Row],[Risk Score]]</f>
        <v/>
      </c>
      <c r="M86" s="214"/>
      <c r="N86" s="29">
        <v>15.1</v>
      </c>
      <c r="O86" s="30" t="s">
        <v>142</v>
      </c>
      <c r="P86" s="30" t="s">
        <v>259</v>
      </c>
      <c r="Q86" s="49"/>
      <c r="R86" s="25"/>
      <c r="S86" s="46" t="str">
        <f>IFERROR(VLOOKUP(10*tblRiskRegister15[[#This Row],[Risk Treatment Safeguard Maturity Score]]+tblRiskRegister15[[#This Row],[VCDB Index]],tblHITIndexWeightTable[],4,FALSE),"")</f>
        <v/>
      </c>
      <c r="T86" s="46">
        <f>VLOOKUP(tblRiskRegister15[[#This Row],[Asset Class]],tblImpactIndex17[],2,FALSE)</f>
        <v>0</v>
      </c>
      <c r="U86" s="46">
        <f>VLOOKUP(tblRiskRegister15[[#This Row],[Asset Class]],tblImpactIndex17[],3,FALSE)</f>
        <v>0</v>
      </c>
      <c r="V86" s="46">
        <f>VLOOKUP(tblRiskRegister15[[#This Row],[Asset Class]],tblImpactIndex17[],4,FALSE)</f>
        <v>0</v>
      </c>
      <c r="W86" s="46" t="str">
        <f>IFERROR(MAX(tblRiskRegister15[[#This Row],[Risk Treatment Safeguard Impact to Mission]:[Risk Treatment Safeguard Impact to Obligations]])*tblRiskRegister15[[#This Row],[Risk Treatment
Safeguard Expectancy Score]],"")</f>
        <v/>
      </c>
      <c r="X86" s="46" t="str">
        <f>IF(tblRiskRegister15[[#This Row],[Risk Score]]&gt;5,IF(tblRiskRegister15[[#This Row],[Risk Treatment Safeguard Risk Score]]&lt;6, IF(tblRiskRegister15[[#This Row],[Risk Treatment Safeguard Risk Score]]&lt;=tblRiskRegister15[[#This Row],[Risk Score]],"Yes","No"),"No"),"Yes")</f>
        <v>No</v>
      </c>
      <c r="Y86" s="26"/>
      <c r="Z86" s="26"/>
      <c r="AA86" s="27"/>
    </row>
    <row r="87" spans="2:27" ht="89.25" x14ac:dyDescent="0.2">
      <c r="B87" s="29">
        <v>17.100000000000001</v>
      </c>
      <c r="C87" s="30" t="s">
        <v>143</v>
      </c>
      <c r="D87" s="30" t="s">
        <v>151</v>
      </c>
      <c r="E87" s="25"/>
      <c r="F87" s="48">
        <f>IFERROR(VLOOKUP(tblRiskRegister15[[#This Row],[Asset Class]],tblVCDBIndex[],4,FALSE),"")</f>
        <v>3</v>
      </c>
      <c r="G87" s="48" t="str">
        <f>IFERROR(VLOOKUP(10*tblRiskRegister15[[#This Row],[Safeguard Maturity Score]]+tblRiskRegister15[[#This Row],[VCDB Index]],tblHITIndexWeightTable[],4,FALSE),"")</f>
        <v/>
      </c>
      <c r="H87" s="48">
        <f>VLOOKUP(tblRiskRegister15[[#This Row],[Asset Class]],tblImpactIndex17[],2,FALSE)</f>
        <v>0</v>
      </c>
      <c r="I87" s="48">
        <f>VLOOKUP(tblRiskRegister15[[#This Row],[Asset Class]],tblImpactIndex17[],3,FALSE)</f>
        <v>0</v>
      </c>
      <c r="J87" s="48">
        <f>VLOOKUP(tblRiskRegister15[[#This Row],[Asset Class]],tblImpactIndex17[],4,FALSE)</f>
        <v>0</v>
      </c>
      <c r="K87" s="48" t="str">
        <f>IFERROR(MAX(tblRiskRegister15[[#This Row],[Impact to Mission]:[Impact to Obligations]])*tblRiskRegister15[[#This Row],[Expectancy Score]],"")</f>
        <v/>
      </c>
      <c r="L87" s="48" t="str">
        <f>tblRiskRegister15[[#This Row],[Risk Score]]</f>
        <v/>
      </c>
      <c r="M87" s="214"/>
      <c r="N87" s="29">
        <v>17.100000000000001</v>
      </c>
      <c r="O87" s="30" t="s">
        <v>143</v>
      </c>
      <c r="P87" s="30" t="s">
        <v>260</v>
      </c>
      <c r="Q87" s="49"/>
      <c r="R87" s="25"/>
      <c r="S87" s="46" t="str">
        <f>IFERROR(VLOOKUP(10*tblRiskRegister15[[#This Row],[Risk Treatment Safeguard Maturity Score]]+tblRiskRegister15[[#This Row],[VCDB Index]],tblHITIndexWeightTable[],4,FALSE),"")</f>
        <v/>
      </c>
      <c r="T87" s="46">
        <f>VLOOKUP(tblRiskRegister15[[#This Row],[Asset Class]],tblImpactIndex17[],2,FALSE)</f>
        <v>0</v>
      </c>
      <c r="U87" s="46">
        <f>VLOOKUP(tblRiskRegister15[[#This Row],[Asset Class]],tblImpactIndex17[],3,FALSE)</f>
        <v>0</v>
      </c>
      <c r="V87" s="46">
        <f>VLOOKUP(tblRiskRegister15[[#This Row],[Asset Class]],tblImpactIndex17[],4,FALSE)</f>
        <v>0</v>
      </c>
      <c r="W87" s="46" t="str">
        <f>IFERROR(MAX(tblRiskRegister15[[#This Row],[Risk Treatment Safeguard Impact to Mission]:[Risk Treatment Safeguard Impact to Obligations]])*tblRiskRegister15[[#This Row],[Risk Treatment
Safeguard Expectancy Score]],"")</f>
        <v/>
      </c>
      <c r="X87" s="46" t="str">
        <f>IF(tblRiskRegister15[[#This Row],[Risk Score]]&gt;5,IF(tblRiskRegister15[[#This Row],[Risk Treatment Safeguard Risk Score]]&lt;6, IF(tblRiskRegister15[[#This Row],[Risk Treatment Safeguard Risk Score]]&lt;=tblRiskRegister15[[#This Row],[Risk Score]],"Yes","No"),"No"),"Yes")</f>
        <v>No</v>
      </c>
      <c r="Y87" s="26"/>
      <c r="Z87" s="26"/>
      <c r="AA87" s="27"/>
    </row>
    <row r="88" spans="2:27" ht="63.75" x14ac:dyDescent="0.2">
      <c r="B88" s="29">
        <v>17.2</v>
      </c>
      <c r="C88" s="30" t="s">
        <v>144</v>
      </c>
      <c r="D88" s="30" t="s">
        <v>151</v>
      </c>
      <c r="E88" s="25"/>
      <c r="F88" s="48">
        <f>IFERROR(VLOOKUP(tblRiskRegister15[[#This Row],[Asset Class]],tblVCDBIndex[],4,FALSE),"")</f>
        <v>3</v>
      </c>
      <c r="G88" s="48" t="str">
        <f>IFERROR(VLOOKUP(10*tblRiskRegister15[[#This Row],[Safeguard Maturity Score]]+tblRiskRegister15[[#This Row],[VCDB Index]],tblHITIndexWeightTable[],4,FALSE),"")</f>
        <v/>
      </c>
      <c r="H88" s="48">
        <f>VLOOKUP(tblRiskRegister15[[#This Row],[Asset Class]],tblImpactIndex17[],2,FALSE)</f>
        <v>0</v>
      </c>
      <c r="I88" s="48">
        <f>VLOOKUP(tblRiskRegister15[[#This Row],[Asset Class]],tblImpactIndex17[],3,FALSE)</f>
        <v>0</v>
      </c>
      <c r="J88" s="48">
        <f>VLOOKUP(tblRiskRegister15[[#This Row],[Asset Class]],tblImpactIndex17[],4,FALSE)</f>
        <v>0</v>
      </c>
      <c r="K88" s="48" t="str">
        <f>IFERROR(MAX(tblRiskRegister15[[#This Row],[Impact to Mission]:[Impact to Obligations]])*tblRiskRegister15[[#This Row],[Expectancy Score]],"")</f>
        <v/>
      </c>
      <c r="L88" s="48" t="str">
        <f>tblRiskRegister15[[#This Row],[Risk Score]]</f>
        <v/>
      </c>
      <c r="M88" s="214"/>
      <c r="N88" s="29">
        <v>17.2</v>
      </c>
      <c r="O88" s="30" t="s">
        <v>144</v>
      </c>
      <c r="P88" s="30" t="s">
        <v>261</v>
      </c>
      <c r="Q88" s="49"/>
      <c r="R88" s="25"/>
      <c r="S88" s="46" t="str">
        <f>IFERROR(VLOOKUP(10*tblRiskRegister15[[#This Row],[Risk Treatment Safeguard Maturity Score]]+tblRiskRegister15[[#This Row],[VCDB Index]],tblHITIndexWeightTable[],4,FALSE),"")</f>
        <v/>
      </c>
      <c r="T88" s="46">
        <f>VLOOKUP(tblRiskRegister15[[#This Row],[Asset Class]],tblImpactIndex17[],2,FALSE)</f>
        <v>0</v>
      </c>
      <c r="U88" s="46">
        <f>VLOOKUP(tblRiskRegister15[[#This Row],[Asset Class]],tblImpactIndex17[],3,FALSE)</f>
        <v>0</v>
      </c>
      <c r="V88" s="46">
        <f>VLOOKUP(tblRiskRegister15[[#This Row],[Asset Class]],tblImpactIndex17[],4,FALSE)</f>
        <v>0</v>
      </c>
      <c r="W88" s="46" t="str">
        <f>IFERROR(MAX(tblRiskRegister15[[#This Row],[Risk Treatment Safeguard Impact to Mission]:[Risk Treatment Safeguard Impact to Obligations]])*tblRiskRegister15[[#This Row],[Risk Treatment
Safeguard Expectancy Score]],"")</f>
        <v/>
      </c>
      <c r="X88" s="46" t="str">
        <f>IF(tblRiskRegister15[[#This Row],[Risk Score]]&gt;5,IF(tblRiskRegister15[[#This Row],[Risk Treatment Safeguard Risk Score]]&lt;6, IF(tblRiskRegister15[[#This Row],[Risk Treatment Safeguard Risk Score]]&lt;=tblRiskRegister15[[#This Row],[Risk Score]],"Yes","No"),"No"),"Yes")</f>
        <v>No</v>
      </c>
      <c r="Y88" s="26"/>
      <c r="Z88" s="26"/>
      <c r="AA88" s="27"/>
    </row>
    <row r="89" spans="2:27" ht="63.75" x14ac:dyDescent="0.2">
      <c r="B89" s="29">
        <v>17.3</v>
      </c>
      <c r="C89" s="30" t="s">
        <v>145</v>
      </c>
      <c r="D89" s="30" t="s">
        <v>151</v>
      </c>
      <c r="E89" s="25"/>
      <c r="F89" s="48">
        <f>IFERROR(VLOOKUP(tblRiskRegister15[[#This Row],[Asset Class]],tblVCDBIndex[],4,FALSE),"")</f>
        <v>3</v>
      </c>
      <c r="G89" s="48" t="str">
        <f>IFERROR(VLOOKUP(10*tblRiskRegister15[[#This Row],[Safeguard Maturity Score]]+tblRiskRegister15[[#This Row],[VCDB Index]],tblHITIndexWeightTable[],4,FALSE),"")</f>
        <v/>
      </c>
      <c r="H89" s="48">
        <f>VLOOKUP(tblRiskRegister15[[#This Row],[Asset Class]],tblImpactIndex17[],2,FALSE)</f>
        <v>0</v>
      </c>
      <c r="I89" s="48">
        <f>VLOOKUP(tblRiskRegister15[[#This Row],[Asset Class]],tblImpactIndex17[],3,FALSE)</f>
        <v>0</v>
      </c>
      <c r="J89" s="48">
        <f>VLOOKUP(tblRiskRegister15[[#This Row],[Asset Class]],tblImpactIndex17[],4,FALSE)</f>
        <v>0</v>
      </c>
      <c r="K89" s="48" t="str">
        <f>IFERROR(MAX(tblRiskRegister15[[#This Row],[Impact to Mission]:[Impact to Obligations]])*tblRiskRegister15[[#This Row],[Expectancy Score]],"")</f>
        <v/>
      </c>
      <c r="L89" s="48" t="str">
        <f>tblRiskRegister15[[#This Row],[Risk Score]]</f>
        <v/>
      </c>
      <c r="M89" s="214"/>
      <c r="N89" s="29">
        <v>17.3</v>
      </c>
      <c r="O89" s="30" t="s">
        <v>145</v>
      </c>
      <c r="P89" s="30" t="s">
        <v>262</v>
      </c>
      <c r="Q89" s="49"/>
      <c r="R89" s="25"/>
      <c r="S89" s="46" t="str">
        <f>IFERROR(VLOOKUP(10*tblRiskRegister15[[#This Row],[Risk Treatment Safeguard Maturity Score]]+tblRiskRegister15[[#This Row],[VCDB Index]],tblHITIndexWeightTable[],4,FALSE),"")</f>
        <v/>
      </c>
      <c r="T89" s="46">
        <f>VLOOKUP(tblRiskRegister15[[#This Row],[Asset Class]],tblImpactIndex17[],2,FALSE)</f>
        <v>0</v>
      </c>
      <c r="U89" s="46">
        <f>VLOOKUP(tblRiskRegister15[[#This Row],[Asset Class]],tblImpactIndex17[],3,FALSE)</f>
        <v>0</v>
      </c>
      <c r="V89" s="46">
        <f>VLOOKUP(tblRiskRegister15[[#This Row],[Asset Class]],tblImpactIndex17[],4,FALSE)</f>
        <v>0</v>
      </c>
      <c r="W89" s="46" t="str">
        <f>IFERROR(MAX(tblRiskRegister15[[#This Row],[Risk Treatment Safeguard Impact to Mission]:[Risk Treatment Safeguard Impact to Obligations]])*tblRiskRegister15[[#This Row],[Risk Treatment
Safeguard Expectancy Score]],"")</f>
        <v/>
      </c>
      <c r="X89" s="46" t="str">
        <f>IF(tblRiskRegister15[[#This Row],[Risk Score]]&gt;5,IF(tblRiskRegister15[[#This Row],[Risk Treatment Safeguard Risk Score]]&lt;6, IF(tblRiskRegister15[[#This Row],[Risk Treatment Safeguard Risk Score]]&lt;=tblRiskRegister15[[#This Row],[Risk Score]],"Yes","No"),"No"),"Yes")</f>
        <v>No</v>
      </c>
      <c r="Y89" s="26"/>
      <c r="Z89" s="26"/>
      <c r="AA89" s="27"/>
    </row>
  </sheetData>
  <sheetProtection sheet="1" formatCells="0" formatColumns="0" formatRows="0" insertRows="0" sort="0" autoFilter="0" pivotTables="0"/>
  <protectedRanges>
    <protectedRange sqref="N34:N89" name="Range1"/>
    <protectedRange sqref="O34:P89" name="Range1_1"/>
  </protectedRanges>
  <mergeCells count="13">
    <mergeCell ref="AC31:AE31"/>
    <mergeCell ref="C31:L31"/>
    <mergeCell ref="H8:I14"/>
    <mergeCell ref="C18:E18"/>
    <mergeCell ref="H18:H26"/>
    <mergeCell ref="F20:G20"/>
    <mergeCell ref="F21:G26"/>
    <mergeCell ref="N31:AA31"/>
    <mergeCell ref="B2:B4"/>
    <mergeCell ref="D2:E2"/>
    <mergeCell ref="D3:E3"/>
    <mergeCell ref="D4:E4"/>
    <mergeCell ref="C8:F8"/>
  </mergeCells>
  <conditionalFormatting sqref="L34:M89">
    <cfRule type="iconSet" priority="1">
      <iconSet showValue="0" reverse="1">
        <cfvo type="percent" val="0"/>
        <cfvo type="num" val="6"/>
        <cfvo type="num" val="6" gte="0"/>
      </iconSet>
    </cfRule>
    <cfRule type="iconSet" priority="2">
      <iconSet showValue="0" reverse="1">
        <cfvo type="percent" val="0"/>
        <cfvo type="num" val="6"/>
        <cfvo type="num" val="15"/>
      </iconSet>
    </cfRule>
    <cfRule type="iconSet" priority="3">
      <iconSet>
        <cfvo type="percent" val="0"/>
        <cfvo type="percent" val="33"/>
        <cfvo type="percent" val="67"/>
      </iconSet>
    </cfRule>
  </conditionalFormatting>
  <dataValidations count="6">
    <dataValidation type="list" allowBlank="1" showInputMessage="1" showErrorMessage="1" sqref="M34:M89" xr:uid="{66691E44-9098-49FB-9672-D391D86426C6}">
      <formula1>"Accept,Reduce"</formula1>
    </dataValidation>
    <dataValidation type="list" allowBlank="1" showInputMessage="1" showErrorMessage="1" sqref="C21:E26" xr:uid="{255BFD06-57F4-41A8-9D6B-C96727E3148A}">
      <formula1>"1,2,3"</formula1>
    </dataValidation>
    <dataValidation type="list" allowBlank="1" showInputMessage="1" showErrorMessage="1" sqref="Z34:Z89" xr:uid="{49F104B6-797E-4793-B615-04CC6C8639AD}">
      <formula1>"Q1, Q2, Q3, Q4"</formula1>
    </dataValidation>
    <dataValidation type="list" allowBlank="1" showInputMessage="1" showErrorMessage="1" sqref="D34:D89" xr:uid="{10ED2794-E3E4-41C3-A561-5B5F41F5A04D}">
      <formula1>Asset_Class</formula1>
    </dataValidation>
    <dataValidation type="list" allowBlank="1" showInputMessage="1" showErrorMessage="1" sqref="AA34:AA89" xr:uid="{53DFBD89-0FAA-4246-B145-791F8ADBDD6D}">
      <formula1>"2021,2022,2023,2024,2025,2026,2027,2028,2029,2030,2031"</formula1>
    </dataValidation>
    <dataValidation type="list" allowBlank="1" showInputMessage="1" showErrorMessage="1" sqref="E34:E89 R34:R89" xr:uid="{DC47D85D-F032-4312-8AB4-BA67ACC07831}">
      <formula1>Maturity_Score</formula1>
    </dataValidation>
  </dataValidations>
  <pageMargins left="0.7" right="0.7" top="0.75" bottom="0.75" header="0.3" footer="0.3"/>
  <pageSetup orientation="portrait"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D5F3F-A89A-4D60-ADEC-3BEE502A1C3B}">
  <sheetPr>
    <tabColor rgb="FF0070C0"/>
  </sheetPr>
  <dimension ref="B1:K38"/>
  <sheetViews>
    <sheetView showGridLines="0" workbookViewId="0">
      <selection activeCell="B2" sqref="B2:B7"/>
    </sheetView>
  </sheetViews>
  <sheetFormatPr defaultRowHeight="12.75" x14ac:dyDescent="0.2"/>
  <cols>
    <col min="1" max="1" width="9.140625" style="2"/>
    <col min="2" max="2" width="15.140625" style="2" customWidth="1"/>
    <col min="3" max="3" width="28.85546875" style="196" customWidth="1"/>
    <col min="4" max="4" width="76.42578125" style="20" customWidth="1"/>
    <col min="5" max="5" width="9.140625" style="2"/>
    <col min="6" max="6" width="20.42578125" style="2" bestFit="1" customWidth="1"/>
    <col min="7" max="10" width="31.5703125" style="2" customWidth="1"/>
    <col min="11" max="11" width="16.42578125" style="2" customWidth="1"/>
    <col min="12" max="16384" width="9.140625" style="2"/>
  </cols>
  <sheetData>
    <row r="1" spans="2:11" ht="13.5" thickBot="1" x14ac:dyDescent="0.25"/>
    <row r="2" spans="2:11" ht="12.75" customHeight="1" x14ac:dyDescent="0.2">
      <c r="B2" s="272" t="s">
        <v>274</v>
      </c>
      <c r="C2" s="237" t="s">
        <v>280</v>
      </c>
      <c r="D2" s="238" t="s">
        <v>275</v>
      </c>
      <c r="F2" s="266" t="s">
        <v>48</v>
      </c>
      <c r="G2" s="267"/>
      <c r="H2" s="267"/>
      <c r="I2" s="267"/>
      <c r="J2" s="268"/>
    </row>
    <row r="3" spans="2:11" ht="25.5" x14ac:dyDescent="0.2">
      <c r="B3" s="273"/>
      <c r="C3" s="207"/>
      <c r="D3" s="239" t="s">
        <v>394</v>
      </c>
      <c r="F3" s="6" t="s">
        <v>5</v>
      </c>
      <c r="G3" s="7" t="s">
        <v>6</v>
      </c>
      <c r="H3" s="7" t="s">
        <v>153</v>
      </c>
      <c r="I3" s="47" t="s">
        <v>154</v>
      </c>
      <c r="J3" s="7" t="s">
        <v>52</v>
      </c>
    </row>
    <row r="4" spans="2:11" ht="25.5" x14ac:dyDescent="0.2">
      <c r="B4" s="273"/>
      <c r="C4" s="209"/>
      <c r="D4" s="239" t="s">
        <v>393</v>
      </c>
      <c r="F4" s="8" t="s">
        <v>4</v>
      </c>
      <c r="G4" s="54" t="s">
        <v>272</v>
      </c>
      <c r="H4" s="54" t="s">
        <v>272</v>
      </c>
      <c r="I4" s="39" t="s">
        <v>67</v>
      </c>
      <c r="J4" s="54" t="s">
        <v>272</v>
      </c>
    </row>
    <row r="5" spans="2:11" ht="12.75" customHeight="1" x14ac:dyDescent="0.2">
      <c r="B5" s="273"/>
      <c r="C5" s="208"/>
      <c r="D5" s="239" t="s">
        <v>276</v>
      </c>
      <c r="F5" s="9" t="s">
        <v>61</v>
      </c>
      <c r="G5" s="211" t="s">
        <v>56</v>
      </c>
      <c r="H5" s="211" t="s">
        <v>58</v>
      </c>
      <c r="I5" s="212" t="s">
        <v>273</v>
      </c>
      <c r="J5" s="211" t="s">
        <v>64</v>
      </c>
    </row>
    <row r="6" spans="2:11" ht="38.25" x14ac:dyDescent="0.2">
      <c r="B6" s="273"/>
      <c r="C6" s="210"/>
      <c r="D6" s="239" t="s">
        <v>277</v>
      </c>
      <c r="F6" s="9" t="s">
        <v>62</v>
      </c>
      <c r="G6" s="211" t="s">
        <v>57</v>
      </c>
      <c r="H6" s="211" t="s">
        <v>59</v>
      </c>
      <c r="I6" s="212" t="s">
        <v>273</v>
      </c>
      <c r="J6" s="211" t="s">
        <v>65</v>
      </c>
    </row>
    <row r="7" spans="2:11" ht="26.25" thickBot="1" x14ac:dyDescent="0.25">
      <c r="B7" s="274"/>
      <c r="C7" s="240"/>
      <c r="D7" s="241" t="s">
        <v>438</v>
      </c>
      <c r="F7" s="9" t="s">
        <v>63</v>
      </c>
      <c r="G7" s="211" t="s">
        <v>55</v>
      </c>
      <c r="H7" s="211" t="s">
        <v>60</v>
      </c>
      <c r="I7" s="213"/>
      <c r="J7" s="211" t="s">
        <v>66</v>
      </c>
    </row>
    <row r="8" spans="2:11" x14ac:dyDescent="0.2">
      <c r="C8" s="197"/>
    </row>
    <row r="9" spans="2:11" ht="13.5" thickBot="1" x14ac:dyDescent="0.25">
      <c r="C9" s="226" t="s">
        <v>385</v>
      </c>
      <c r="D9" s="226" t="s">
        <v>275</v>
      </c>
      <c r="F9" s="266" t="s">
        <v>69</v>
      </c>
      <c r="G9" s="267"/>
      <c r="H9" s="267"/>
      <c r="I9" s="268"/>
      <c r="J9" s="197"/>
    </row>
    <row r="10" spans="2:11" x14ac:dyDescent="0.2">
      <c r="B10" s="269" t="s">
        <v>267</v>
      </c>
      <c r="C10" s="227" t="s">
        <v>168</v>
      </c>
      <c r="D10" s="228" t="s">
        <v>395</v>
      </c>
      <c r="F10" s="6" t="s">
        <v>51</v>
      </c>
      <c r="G10" s="7" t="s">
        <v>46</v>
      </c>
      <c r="H10" s="7" t="s">
        <v>155</v>
      </c>
      <c r="I10" s="7" t="s">
        <v>47</v>
      </c>
      <c r="J10" s="197"/>
    </row>
    <row r="11" spans="2:11" x14ac:dyDescent="0.2">
      <c r="B11" s="270"/>
      <c r="C11" s="222" t="s">
        <v>169</v>
      </c>
      <c r="D11" s="229" t="s">
        <v>396</v>
      </c>
      <c r="F11" s="9" t="s">
        <v>151</v>
      </c>
      <c r="G11" s="54" t="s">
        <v>272</v>
      </c>
      <c r="H11" s="54" t="s">
        <v>272</v>
      </c>
      <c r="I11" s="54" t="s">
        <v>272</v>
      </c>
      <c r="J11" s="197"/>
    </row>
    <row r="12" spans="2:11" x14ac:dyDescent="0.2">
      <c r="B12" s="270"/>
      <c r="C12" s="222" t="s">
        <v>51</v>
      </c>
      <c r="D12" s="229" t="s">
        <v>397</v>
      </c>
      <c r="F12" s="16" t="s">
        <v>147</v>
      </c>
      <c r="G12" s="47" t="s">
        <v>273</v>
      </c>
      <c r="H12" s="47" t="s">
        <v>273</v>
      </c>
      <c r="I12" s="47" t="s">
        <v>273</v>
      </c>
      <c r="J12" s="197"/>
    </row>
    <row r="13" spans="2:11" ht="25.5" x14ac:dyDescent="0.2">
      <c r="B13" s="270"/>
      <c r="C13" s="223" t="s">
        <v>286</v>
      </c>
      <c r="D13" s="229" t="s">
        <v>425</v>
      </c>
      <c r="F13" s="16" t="s">
        <v>148</v>
      </c>
      <c r="G13" s="47" t="s">
        <v>273</v>
      </c>
      <c r="H13" s="47" t="s">
        <v>273</v>
      </c>
      <c r="I13" s="47" t="s">
        <v>273</v>
      </c>
    </row>
    <row r="14" spans="2:11" ht="25.5" x14ac:dyDescent="0.2">
      <c r="B14" s="270"/>
      <c r="C14" s="222" t="s">
        <v>49</v>
      </c>
      <c r="D14" s="229" t="s">
        <v>398</v>
      </c>
      <c r="F14" s="16" t="s">
        <v>146</v>
      </c>
      <c r="G14" s="47" t="s">
        <v>273</v>
      </c>
      <c r="H14" s="47" t="s">
        <v>273</v>
      </c>
      <c r="I14" s="47" t="s">
        <v>273</v>
      </c>
    </row>
    <row r="15" spans="2:11" ht="25.5" x14ac:dyDescent="0.2">
      <c r="B15" s="270"/>
      <c r="C15" s="222" t="s">
        <v>429</v>
      </c>
      <c r="D15" s="229" t="s">
        <v>399</v>
      </c>
      <c r="F15" s="16" t="s">
        <v>149</v>
      </c>
      <c r="G15" s="47" t="s">
        <v>273</v>
      </c>
      <c r="H15" s="47" t="s">
        <v>273</v>
      </c>
      <c r="I15" s="47" t="s">
        <v>273</v>
      </c>
      <c r="K15" s="197"/>
    </row>
    <row r="16" spans="2:11" x14ac:dyDescent="0.2">
      <c r="B16" s="270"/>
      <c r="C16" s="222" t="s">
        <v>0</v>
      </c>
      <c r="D16" s="229" t="s">
        <v>400</v>
      </c>
      <c r="F16" s="16" t="s">
        <v>150</v>
      </c>
      <c r="G16" s="47" t="s">
        <v>273</v>
      </c>
      <c r="H16" s="47" t="s">
        <v>273</v>
      </c>
      <c r="I16" s="47" t="s">
        <v>273</v>
      </c>
      <c r="K16" s="197"/>
    </row>
    <row r="17" spans="2:11" ht="25.5" x14ac:dyDescent="0.2">
      <c r="B17" s="270"/>
      <c r="C17" s="222" t="s">
        <v>156</v>
      </c>
      <c r="D17" s="229" t="s">
        <v>401</v>
      </c>
      <c r="K17" s="197"/>
    </row>
    <row r="18" spans="2:11" x14ac:dyDescent="0.2">
      <c r="B18" s="270"/>
      <c r="C18" s="222" t="s">
        <v>1</v>
      </c>
      <c r="D18" s="229" t="s">
        <v>402</v>
      </c>
      <c r="K18" s="197"/>
    </row>
    <row r="19" spans="2:11" x14ac:dyDescent="0.2">
      <c r="B19" s="270"/>
      <c r="C19" s="222" t="s">
        <v>2</v>
      </c>
      <c r="D19" s="229" t="s">
        <v>451</v>
      </c>
      <c r="K19" s="197"/>
    </row>
    <row r="20" spans="2:11" ht="13.5" thickBot="1" x14ac:dyDescent="0.25">
      <c r="B20" s="271"/>
      <c r="C20" s="230" t="s">
        <v>3</v>
      </c>
      <c r="D20" s="231" t="s">
        <v>403</v>
      </c>
      <c r="K20" s="197"/>
    </row>
    <row r="21" spans="2:11" ht="12.75" customHeight="1" x14ac:dyDescent="0.2">
      <c r="B21" s="269" t="s">
        <v>265</v>
      </c>
      <c r="C21" s="232" t="s">
        <v>293</v>
      </c>
      <c r="D21" s="228" t="s">
        <v>404</v>
      </c>
      <c r="F21" s="275" t="s">
        <v>444</v>
      </c>
      <c r="G21" s="275"/>
      <c r="K21" s="197"/>
    </row>
    <row r="22" spans="2:11" ht="12.75" customHeight="1" x14ac:dyDescent="0.2">
      <c r="B22" s="270"/>
      <c r="C22" s="224" t="s">
        <v>70</v>
      </c>
      <c r="D22" s="229" t="s">
        <v>395</v>
      </c>
      <c r="F22" s="243" t="s">
        <v>445</v>
      </c>
      <c r="G22" s="244" t="s">
        <v>446</v>
      </c>
    </row>
    <row r="23" spans="2:11" ht="25.5" x14ac:dyDescent="0.2">
      <c r="B23" s="270"/>
      <c r="C23" s="224" t="s">
        <v>270</v>
      </c>
      <c r="D23" s="229" t="s">
        <v>396</v>
      </c>
      <c r="F23" s="245" t="s">
        <v>447</v>
      </c>
      <c r="G23" s="242" t="s">
        <v>448</v>
      </c>
    </row>
    <row r="24" spans="2:11" ht="25.5" x14ac:dyDescent="0.2">
      <c r="B24" s="270"/>
      <c r="C24" s="224" t="s">
        <v>271</v>
      </c>
      <c r="D24" s="229" t="s">
        <v>405</v>
      </c>
      <c r="F24" s="246" t="s">
        <v>449</v>
      </c>
      <c r="G24" s="242" t="s">
        <v>450</v>
      </c>
    </row>
    <row r="25" spans="2:11" ht="25.5" x14ac:dyDescent="0.2">
      <c r="B25" s="270"/>
      <c r="C25" s="225" t="s">
        <v>171</v>
      </c>
      <c r="D25" s="229" t="s">
        <v>406</v>
      </c>
    </row>
    <row r="26" spans="2:11" ht="25.5" x14ac:dyDescent="0.2">
      <c r="B26" s="270"/>
      <c r="C26" s="223" t="s">
        <v>287</v>
      </c>
      <c r="D26" s="229" t="s">
        <v>426</v>
      </c>
    </row>
    <row r="27" spans="2:11" ht="25.5" x14ac:dyDescent="0.2">
      <c r="B27" s="270"/>
      <c r="C27" s="224" t="s">
        <v>442</v>
      </c>
      <c r="D27" s="229" t="s">
        <v>407</v>
      </c>
    </row>
    <row r="28" spans="2:11" ht="25.5" x14ac:dyDescent="0.2">
      <c r="B28" s="270"/>
      <c r="C28" s="224" t="s">
        <v>76</v>
      </c>
      <c r="D28" s="229" t="s">
        <v>400</v>
      </c>
    </row>
    <row r="29" spans="2:11" ht="38.25" x14ac:dyDescent="0.2">
      <c r="B29" s="270"/>
      <c r="C29" s="224" t="s">
        <v>157</v>
      </c>
      <c r="D29" s="229" t="s">
        <v>401</v>
      </c>
    </row>
    <row r="30" spans="2:11" ht="25.5" x14ac:dyDescent="0.2">
      <c r="B30" s="270"/>
      <c r="C30" s="224" t="s">
        <v>77</v>
      </c>
      <c r="D30" s="229" t="s">
        <v>402</v>
      </c>
    </row>
    <row r="31" spans="2:11" ht="25.5" x14ac:dyDescent="0.2">
      <c r="B31" s="270"/>
      <c r="C31" s="224" t="s">
        <v>79</v>
      </c>
      <c r="D31" s="229" t="s">
        <v>452</v>
      </c>
    </row>
    <row r="32" spans="2:11" ht="12.75" customHeight="1" x14ac:dyDescent="0.2">
      <c r="B32" s="270"/>
      <c r="C32" s="224" t="s">
        <v>266</v>
      </c>
      <c r="D32" s="229" t="s">
        <v>408</v>
      </c>
    </row>
    <row r="33" spans="2:4" ht="25.5" x14ac:dyDescent="0.2">
      <c r="B33" s="270"/>
      <c r="C33" s="225" t="s">
        <v>78</v>
      </c>
      <c r="D33" s="229" t="s">
        <v>409</v>
      </c>
    </row>
    <row r="34" spans="2:4" ht="12.75" customHeight="1" x14ac:dyDescent="0.2">
      <c r="B34" s="270"/>
      <c r="C34" s="225" t="s">
        <v>163</v>
      </c>
      <c r="D34" s="229" t="s">
        <v>410</v>
      </c>
    </row>
    <row r="35" spans="2:4" ht="13.5" customHeight="1" thickBot="1" x14ac:dyDescent="0.25">
      <c r="B35" s="271"/>
      <c r="C35" s="233" t="s">
        <v>71</v>
      </c>
      <c r="D35" s="231" t="s">
        <v>411</v>
      </c>
    </row>
    <row r="36" spans="2:4" ht="25.5" x14ac:dyDescent="0.2">
      <c r="B36" s="263" t="s">
        <v>432</v>
      </c>
      <c r="C36" s="219" t="s">
        <v>158</v>
      </c>
      <c r="D36" s="234" t="s">
        <v>439</v>
      </c>
    </row>
    <row r="37" spans="2:4" x14ac:dyDescent="0.2">
      <c r="B37" s="264"/>
      <c r="C37" s="220" t="s">
        <v>72</v>
      </c>
      <c r="D37" s="235" t="s">
        <v>440</v>
      </c>
    </row>
    <row r="38" spans="2:4" ht="26.25" thickBot="1" x14ac:dyDescent="0.25">
      <c r="B38" s="265"/>
      <c r="C38" s="221" t="s">
        <v>73</v>
      </c>
      <c r="D38" s="236" t="s">
        <v>441</v>
      </c>
    </row>
  </sheetData>
  <sheetProtection sheet="1" objects="1" scenarios="1"/>
  <mergeCells count="7">
    <mergeCell ref="B36:B38"/>
    <mergeCell ref="F2:J2"/>
    <mergeCell ref="B21:B35"/>
    <mergeCell ref="B10:B20"/>
    <mergeCell ref="F9:I9"/>
    <mergeCell ref="B2:B7"/>
    <mergeCell ref="F21:G21"/>
  </mergeCells>
  <pageMargins left="0.7" right="0.7" top="0.75" bottom="0.75" header="0.3" footer="0.3"/>
  <pageSetup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1100-E161-4811-8D8E-DF07EF73F8B4}">
  <sheetPr>
    <tabColor rgb="FF0070C0"/>
  </sheetPr>
  <dimension ref="B2:E72"/>
  <sheetViews>
    <sheetView showGridLines="0" zoomScale="104" workbookViewId="0">
      <selection activeCell="B2" sqref="B2"/>
    </sheetView>
  </sheetViews>
  <sheetFormatPr defaultColWidth="9.140625" defaultRowHeight="12.75" x14ac:dyDescent="0.2"/>
  <cols>
    <col min="1" max="1" width="9.140625" style="2"/>
    <col min="2" max="2" width="27.28515625" style="2" bestFit="1" customWidth="1"/>
    <col min="3" max="3" width="80.42578125" style="2" bestFit="1" customWidth="1"/>
    <col min="4" max="5" width="34.5703125" style="2" customWidth="1"/>
    <col min="6" max="6" width="15.42578125" style="2" bestFit="1" customWidth="1"/>
    <col min="7" max="7" width="17.5703125" style="2" bestFit="1" customWidth="1"/>
    <col min="8" max="8" width="18.42578125" style="2" bestFit="1" customWidth="1"/>
    <col min="9" max="16384" width="9.140625" style="2"/>
  </cols>
  <sheetData>
    <row r="2" spans="2:5" ht="10.5" customHeight="1" x14ac:dyDescent="0.2">
      <c r="B2" s="31"/>
      <c r="C2" s="31"/>
      <c r="D2" s="31"/>
      <c r="E2" s="31"/>
    </row>
    <row r="4" spans="2:5" x14ac:dyDescent="0.2">
      <c r="B4" s="51" t="s">
        <v>292</v>
      </c>
      <c r="C4" s="52" t="s">
        <v>288</v>
      </c>
    </row>
    <row r="6" spans="2:5" x14ac:dyDescent="0.2">
      <c r="B6" s="13" t="s">
        <v>292</v>
      </c>
      <c r="C6" s="13" t="s">
        <v>4</v>
      </c>
    </row>
    <row r="7" spans="2:5" x14ac:dyDescent="0.2">
      <c r="B7" s="13">
        <v>1</v>
      </c>
      <c r="C7" s="17" t="s">
        <v>165</v>
      </c>
    </row>
    <row r="8" spans="2:5" x14ac:dyDescent="0.2">
      <c r="B8" s="13">
        <v>2</v>
      </c>
      <c r="C8" s="17" t="s">
        <v>166</v>
      </c>
    </row>
    <row r="9" spans="2:5" x14ac:dyDescent="0.2">
      <c r="B9" s="13">
        <v>3</v>
      </c>
      <c r="C9" s="17" t="s">
        <v>167</v>
      </c>
    </row>
    <row r="10" spans="2:5" x14ac:dyDescent="0.2">
      <c r="B10" s="13">
        <v>4</v>
      </c>
      <c r="C10" s="17" t="s">
        <v>294</v>
      </c>
    </row>
    <row r="11" spans="2:5" x14ac:dyDescent="0.2">
      <c r="B11" s="13">
        <v>5</v>
      </c>
      <c r="C11" s="17" t="s">
        <v>295</v>
      </c>
    </row>
    <row r="12" spans="2:5" x14ac:dyDescent="0.2">
      <c r="B12" s="13"/>
      <c r="C12" s="17"/>
    </row>
    <row r="13" spans="2:5" ht="10.5" customHeight="1" x14ac:dyDescent="0.2">
      <c r="B13" s="31"/>
      <c r="C13" s="31"/>
      <c r="D13" s="31"/>
      <c r="E13" s="31"/>
    </row>
    <row r="14" spans="2:5" x14ac:dyDescent="0.2">
      <c r="B14" s="13"/>
      <c r="C14" s="17"/>
    </row>
    <row r="15" spans="2:5" x14ac:dyDescent="0.2">
      <c r="B15" s="51" t="s">
        <v>443</v>
      </c>
      <c r="C15" s="52" t="s">
        <v>433</v>
      </c>
    </row>
    <row r="17" spans="2:5" x14ac:dyDescent="0.2">
      <c r="B17" s="13" t="s">
        <v>434</v>
      </c>
      <c r="C17" s="13" t="s">
        <v>435</v>
      </c>
    </row>
    <row r="18" spans="2:5" x14ac:dyDescent="0.2">
      <c r="B18" s="13">
        <v>1</v>
      </c>
      <c r="C18" s="17" t="s">
        <v>412</v>
      </c>
    </row>
    <row r="19" spans="2:5" x14ac:dyDescent="0.2">
      <c r="B19" s="13">
        <v>2</v>
      </c>
      <c r="C19" s="17" t="s">
        <v>80</v>
      </c>
    </row>
    <row r="20" spans="2:5" x14ac:dyDescent="0.2">
      <c r="B20" s="13">
        <v>3</v>
      </c>
      <c r="C20" s="17" t="s">
        <v>81</v>
      </c>
    </row>
    <row r="22" spans="2:5" ht="10.5" customHeight="1" x14ac:dyDescent="0.2">
      <c r="B22" s="31"/>
      <c r="C22" s="31"/>
      <c r="D22" s="31"/>
      <c r="E22" s="31"/>
    </row>
    <row r="24" spans="2:5" x14ac:dyDescent="0.2">
      <c r="B24" s="51" t="s">
        <v>9</v>
      </c>
      <c r="C24" s="52" t="s">
        <v>278</v>
      </c>
    </row>
    <row r="26" spans="2:5" x14ac:dyDescent="0.2">
      <c r="B26" s="196" t="s">
        <v>7</v>
      </c>
      <c r="C26" s="196" t="s">
        <v>9</v>
      </c>
    </row>
    <row r="27" spans="2:5" x14ac:dyDescent="0.2">
      <c r="B27" s="196" t="s">
        <v>8</v>
      </c>
      <c r="C27" s="14" t="s">
        <v>10</v>
      </c>
    </row>
    <row r="29" spans="2:5" ht="10.5" customHeight="1" x14ac:dyDescent="0.2">
      <c r="B29" s="31"/>
      <c r="C29" s="31"/>
      <c r="D29" s="31"/>
      <c r="E29" s="31"/>
    </row>
    <row r="31" spans="2:5" x14ac:dyDescent="0.2">
      <c r="B31" s="51" t="s">
        <v>49</v>
      </c>
      <c r="C31" s="52" t="s">
        <v>279</v>
      </c>
    </row>
    <row r="33" spans="2:5" x14ac:dyDescent="0.2">
      <c r="B33" s="32" t="s">
        <v>159</v>
      </c>
      <c r="C33" s="36">
        <v>8893</v>
      </c>
      <c r="D33" s="32" t="s">
        <v>160</v>
      </c>
      <c r="E33" s="35">
        <v>44406</v>
      </c>
    </row>
    <row r="34" spans="2:5" x14ac:dyDescent="0.2">
      <c r="B34" s="13" t="s">
        <v>51</v>
      </c>
      <c r="C34" s="13" t="s">
        <v>11</v>
      </c>
      <c r="D34" s="13" t="s">
        <v>12</v>
      </c>
      <c r="E34" s="13" t="s">
        <v>14</v>
      </c>
    </row>
    <row r="35" spans="2:5" x14ac:dyDescent="0.2">
      <c r="B35" s="17" t="s">
        <v>151</v>
      </c>
      <c r="C35" s="13">
        <f>MAX(C36:C41)</f>
        <v>4458</v>
      </c>
      <c r="D35" s="41">
        <f>tblVCDBIndex[[#This Row],[Sum of Threat Count / Industry]]/$C$33</f>
        <v>0.50129315191723822</v>
      </c>
      <c r="E35" s="42">
        <f>IF(tblVCDBIndex[[#This Row],[Percentage]]&gt;=0.5,3,IF(tblVCDBIndex[[#This Row],[Percentage]]&gt;=0.1,2,1))</f>
        <v>3</v>
      </c>
    </row>
    <row r="36" spans="2:5" x14ac:dyDescent="0.2">
      <c r="B36" s="2" t="s">
        <v>148</v>
      </c>
      <c r="C36" s="13">
        <v>1253</v>
      </c>
      <c r="D36" s="33">
        <f>tblVCDBIndex[[#This Row],[Sum of Threat Count / Industry]]/$C$33</f>
        <v>0.14089733498257057</v>
      </c>
      <c r="E36" s="13">
        <f>IF(tblVCDBIndex[[#This Row],[Percentage]]&gt;=0.5,3,IF(tblVCDBIndex[[#This Row],[Percentage]]&gt;=0.1,2,1))</f>
        <v>2</v>
      </c>
    </row>
    <row r="37" spans="2:5" x14ac:dyDescent="0.2">
      <c r="B37" s="2" t="s">
        <v>146</v>
      </c>
      <c r="C37" s="13">
        <v>4458</v>
      </c>
      <c r="D37" s="33">
        <f>tblVCDBIndex[[#This Row],[Sum of Threat Count / Industry]]/$C$33</f>
        <v>0.50129315191723822</v>
      </c>
      <c r="E37" s="13">
        <f>IF(tblVCDBIndex[[#This Row],[Percentage]]&gt;=0.5,3,IF(tblVCDBIndex[[#This Row],[Percentage]]&gt;=0.1,2,1))</f>
        <v>3</v>
      </c>
    </row>
    <row r="38" spans="2:5" x14ac:dyDescent="0.2">
      <c r="B38" s="2" t="s">
        <v>147</v>
      </c>
      <c r="C38" s="13">
        <v>798</v>
      </c>
      <c r="D38" s="33">
        <f>tblVCDBIndex[[#This Row],[Sum of Threat Count / Industry]]/$C$33</f>
        <v>8.9733498257056107E-2</v>
      </c>
      <c r="E38" s="13">
        <f>IF(tblVCDBIndex[[#This Row],[Percentage]]&gt;=0.5,3,IF(tblVCDBIndex[[#This Row],[Percentage]]&gt;=0.1,2,1))</f>
        <v>1</v>
      </c>
    </row>
    <row r="39" spans="2:5" x14ac:dyDescent="0.2">
      <c r="B39" s="2" t="s">
        <v>149</v>
      </c>
      <c r="C39" s="13">
        <v>62</v>
      </c>
      <c r="D39" s="33">
        <f>tblVCDBIndex[[#This Row],[Sum of Threat Count / Industry]]/$C$33</f>
        <v>6.9717755538063649E-3</v>
      </c>
      <c r="E39" s="13">
        <f>IF(tblVCDBIndex[[#This Row],[Percentage]]&gt;=0.5,3,IF(tblVCDBIndex[[#This Row],[Percentage]]&gt;=0.1,2,1))</f>
        <v>1</v>
      </c>
    </row>
    <row r="40" spans="2:5" x14ac:dyDescent="0.2">
      <c r="B40" s="2" t="s">
        <v>150</v>
      </c>
      <c r="C40" s="13">
        <v>4458</v>
      </c>
      <c r="D40" s="33">
        <f>tblVCDBIndex[[#This Row],[Sum of Threat Count / Industry]]/$C$33</f>
        <v>0.50129315191723822</v>
      </c>
      <c r="E40" s="13">
        <f>IF(tblVCDBIndex[[#This Row],[Percentage]]&gt;=0.5,3,IF(tblVCDBIndex[[#This Row],[Percentage]]&gt;=0.1,2,1))</f>
        <v>3</v>
      </c>
    </row>
    <row r="41" spans="2:5" x14ac:dyDescent="0.2">
      <c r="B41" s="2" t="s">
        <v>162</v>
      </c>
      <c r="C41" s="13">
        <v>863</v>
      </c>
      <c r="D41" s="33">
        <f>tblVCDBIndex[[#This Row],[Sum of Threat Count / Industry]]/$C$33</f>
        <v>9.7042617789272465E-2</v>
      </c>
      <c r="E41" s="13">
        <f>IF(tblVCDBIndex[[#This Row],[Percentage]]&gt;=0.5,3,IF(tblVCDBIndex[[#This Row],[Percentage]]&gt;=0.1,2,1))</f>
        <v>1</v>
      </c>
    </row>
    <row r="43" spans="2:5" x14ac:dyDescent="0.2">
      <c r="B43" s="31"/>
      <c r="C43" s="31"/>
      <c r="D43" s="31"/>
      <c r="E43" s="31"/>
    </row>
    <row r="45" spans="2:5" x14ac:dyDescent="0.2">
      <c r="B45" s="51" t="s">
        <v>50</v>
      </c>
      <c r="C45" s="52" t="s">
        <v>436</v>
      </c>
    </row>
    <row r="47" spans="2:5" ht="10.5" customHeight="1" x14ac:dyDescent="0.2">
      <c r="B47" s="13" t="s">
        <v>161</v>
      </c>
      <c r="C47" s="13" t="s">
        <v>13</v>
      </c>
      <c r="D47" s="13" t="s">
        <v>49</v>
      </c>
      <c r="E47" s="13" t="s">
        <v>437</v>
      </c>
    </row>
    <row r="48" spans="2:5" x14ac:dyDescent="0.2">
      <c r="B48" s="13">
        <v>51</v>
      </c>
      <c r="C48" s="13">
        <v>5</v>
      </c>
      <c r="D48" s="13">
        <v>1</v>
      </c>
      <c r="E48" s="13">
        <v>1</v>
      </c>
    </row>
    <row r="49" spans="2:5" x14ac:dyDescent="0.2">
      <c r="B49" s="13">
        <v>52</v>
      </c>
      <c r="C49" s="13">
        <v>5</v>
      </c>
      <c r="D49" s="13">
        <v>2</v>
      </c>
      <c r="E49" s="13">
        <v>1</v>
      </c>
    </row>
    <row r="50" spans="2:5" x14ac:dyDescent="0.2">
      <c r="B50" s="13">
        <v>53</v>
      </c>
      <c r="C50" s="13">
        <v>5</v>
      </c>
      <c r="D50" s="13">
        <v>3</v>
      </c>
      <c r="E50" s="13">
        <v>1</v>
      </c>
    </row>
    <row r="51" spans="2:5" x14ac:dyDescent="0.2">
      <c r="B51" s="13">
        <v>54</v>
      </c>
      <c r="C51" s="13">
        <v>5</v>
      </c>
      <c r="D51" s="13">
        <v>4</v>
      </c>
      <c r="E51" s="13">
        <v>1</v>
      </c>
    </row>
    <row r="52" spans="2:5" x14ac:dyDescent="0.2">
      <c r="B52" s="13">
        <v>55</v>
      </c>
      <c r="C52" s="13">
        <v>5</v>
      </c>
      <c r="D52" s="13">
        <v>5</v>
      </c>
      <c r="E52" s="13">
        <v>2</v>
      </c>
    </row>
    <row r="53" spans="2:5" x14ac:dyDescent="0.2">
      <c r="B53" s="13">
        <v>41</v>
      </c>
      <c r="C53" s="13">
        <v>4</v>
      </c>
      <c r="D53" s="13">
        <v>1</v>
      </c>
      <c r="E53" s="13">
        <v>1</v>
      </c>
    </row>
    <row r="54" spans="2:5" x14ac:dyDescent="0.2">
      <c r="B54" s="13">
        <v>42</v>
      </c>
      <c r="C54" s="13">
        <v>4</v>
      </c>
      <c r="D54" s="13">
        <v>2</v>
      </c>
      <c r="E54" s="13">
        <v>1</v>
      </c>
    </row>
    <row r="55" spans="2:5" x14ac:dyDescent="0.2">
      <c r="B55" s="13">
        <v>43</v>
      </c>
      <c r="C55" s="13">
        <v>4</v>
      </c>
      <c r="D55" s="13">
        <v>3</v>
      </c>
      <c r="E55" s="13">
        <v>2</v>
      </c>
    </row>
    <row r="56" spans="2:5" x14ac:dyDescent="0.2">
      <c r="B56" s="13">
        <v>44</v>
      </c>
      <c r="C56" s="13">
        <v>4</v>
      </c>
      <c r="D56" s="13">
        <v>4</v>
      </c>
      <c r="E56" s="13">
        <v>2</v>
      </c>
    </row>
    <row r="57" spans="2:5" x14ac:dyDescent="0.2">
      <c r="B57" s="13">
        <v>45</v>
      </c>
      <c r="C57" s="13">
        <v>4</v>
      </c>
      <c r="D57" s="13">
        <v>5</v>
      </c>
      <c r="E57" s="13">
        <v>2</v>
      </c>
    </row>
    <row r="58" spans="2:5" x14ac:dyDescent="0.2">
      <c r="B58" s="13">
        <v>31</v>
      </c>
      <c r="C58" s="13">
        <v>3</v>
      </c>
      <c r="D58" s="13">
        <v>1</v>
      </c>
      <c r="E58" s="13">
        <v>2</v>
      </c>
    </row>
    <row r="59" spans="2:5" x14ac:dyDescent="0.2">
      <c r="B59" s="13">
        <v>32</v>
      </c>
      <c r="C59" s="13">
        <v>3</v>
      </c>
      <c r="D59" s="13">
        <v>2</v>
      </c>
      <c r="E59" s="13">
        <v>2</v>
      </c>
    </row>
    <row r="60" spans="2:5" x14ac:dyDescent="0.2">
      <c r="B60" s="13">
        <v>33</v>
      </c>
      <c r="C60" s="13">
        <v>3</v>
      </c>
      <c r="D60" s="13">
        <v>3</v>
      </c>
      <c r="E60" s="13">
        <v>2</v>
      </c>
    </row>
    <row r="61" spans="2:5" x14ac:dyDescent="0.2">
      <c r="B61" s="13">
        <v>34</v>
      </c>
      <c r="C61" s="13">
        <v>3</v>
      </c>
      <c r="D61" s="13">
        <v>4</v>
      </c>
      <c r="E61" s="13">
        <v>3</v>
      </c>
    </row>
    <row r="62" spans="2:5" x14ac:dyDescent="0.2">
      <c r="B62" s="13">
        <v>35</v>
      </c>
      <c r="C62" s="13">
        <v>3</v>
      </c>
      <c r="D62" s="13">
        <v>5</v>
      </c>
      <c r="E62" s="13">
        <v>3</v>
      </c>
    </row>
    <row r="63" spans="2:5" x14ac:dyDescent="0.2">
      <c r="B63" s="13">
        <v>21</v>
      </c>
      <c r="C63" s="13">
        <v>2</v>
      </c>
      <c r="D63" s="13">
        <v>1</v>
      </c>
      <c r="E63" s="13">
        <v>2</v>
      </c>
    </row>
    <row r="64" spans="2:5" x14ac:dyDescent="0.2">
      <c r="B64" s="13">
        <v>22</v>
      </c>
      <c r="C64" s="13">
        <v>2</v>
      </c>
      <c r="D64" s="13">
        <v>2</v>
      </c>
      <c r="E64" s="13">
        <v>2</v>
      </c>
    </row>
    <row r="65" spans="2:5" x14ac:dyDescent="0.2">
      <c r="B65" s="13">
        <v>23</v>
      </c>
      <c r="C65" s="13">
        <v>2</v>
      </c>
      <c r="D65" s="13">
        <v>3</v>
      </c>
      <c r="E65" s="13">
        <v>2</v>
      </c>
    </row>
    <row r="66" spans="2:5" x14ac:dyDescent="0.2">
      <c r="B66" s="13">
        <v>24</v>
      </c>
      <c r="C66" s="13">
        <v>2</v>
      </c>
      <c r="D66" s="13">
        <v>4</v>
      </c>
      <c r="E66" s="13">
        <v>3</v>
      </c>
    </row>
    <row r="67" spans="2:5" x14ac:dyDescent="0.2">
      <c r="B67" s="13">
        <v>25</v>
      </c>
      <c r="C67" s="13">
        <v>2</v>
      </c>
      <c r="D67" s="13">
        <v>5</v>
      </c>
      <c r="E67" s="13">
        <v>3</v>
      </c>
    </row>
    <row r="68" spans="2:5" x14ac:dyDescent="0.2">
      <c r="B68" s="13">
        <v>11</v>
      </c>
      <c r="C68" s="13">
        <v>1</v>
      </c>
      <c r="D68" s="13">
        <v>1</v>
      </c>
      <c r="E68" s="13">
        <v>2</v>
      </c>
    </row>
    <row r="69" spans="2:5" x14ac:dyDescent="0.2">
      <c r="B69" s="13">
        <v>12</v>
      </c>
      <c r="C69" s="13">
        <v>1</v>
      </c>
      <c r="D69" s="13">
        <v>2</v>
      </c>
      <c r="E69" s="13">
        <v>3</v>
      </c>
    </row>
    <row r="70" spans="2:5" x14ac:dyDescent="0.2">
      <c r="B70" s="13">
        <v>13</v>
      </c>
      <c r="C70" s="13">
        <v>1</v>
      </c>
      <c r="D70" s="13">
        <v>3</v>
      </c>
      <c r="E70" s="13">
        <v>3</v>
      </c>
    </row>
    <row r="71" spans="2:5" x14ac:dyDescent="0.2">
      <c r="B71" s="13">
        <v>14</v>
      </c>
      <c r="C71" s="13">
        <v>1</v>
      </c>
      <c r="D71" s="13">
        <v>4</v>
      </c>
      <c r="E71" s="13">
        <v>3</v>
      </c>
    </row>
    <row r="72" spans="2:5" x14ac:dyDescent="0.2">
      <c r="B72" s="13">
        <v>15</v>
      </c>
      <c r="C72" s="13">
        <v>1</v>
      </c>
      <c r="D72" s="13">
        <v>5</v>
      </c>
      <c r="E72" s="13">
        <v>3</v>
      </c>
    </row>
  </sheetData>
  <sheetProtection sheet="1" objects="1" scenarios="1"/>
  <pageMargins left="0.7" right="0.7" top="0.75" bottom="0.75" header="0.3" footer="0.3"/>
  <pageSetup orientation="portrait"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D2131-05C4-47FE-B3D6-3B7C12F8E9C4}">
  <sheetPr>
    <tabColor rgb="FFA391F1"/>
  </sheetPr>
  <dimension ref="B1:U60"/>
  <sheetViews>
    <sheetView showGridLines="0" workbookViewId="0">
      <selection activeCell="B1" sqref="B1:J1"/>
    </sheetView>
  </sheetViews>
  <sheetFormatPr defaultColWidth="9.140625" defaultRowHeight="12.75" x14ac:dyDescent="0.2"/>
  <cols>
    <col min="1" max="1" width="5.28515625" style="90" customWidth="1"/>
    <col min="2" max="2" width="18.7109375" style="92" customWidth="1"/>
    <col min="3" max="3" width="15.5703125" style="93" customWidth="1"/>
    <col min="4" max="4" width="17.7109375" style="93" customWidth="1"/>
    <col min="5" max="5" width="20" style="93" customWidth="1"/>
    <col min="6" max="6" width="5.85546875" style="90" customWidth="1"/>
    <col min="7" max="7" width="17.7109375" style="142" customWidth="1"/>
    <col min="8" max="9" width="15.7109375" style="93" customWidth="1"/>
    <col min="10" max="10" width="16.7109375" style="93" customWidth="1"/>
    <col min="11" max="11" width="9.140625" style="90"/>
    <col min="12" max="12" width="97.140625" style="90" customWidth="1"/>
    <col min="13" max="13" width="9.140625" style="90"/>
    <col min="14" max="14" width="17.140625" style="90" customWidth="1"/>
    <col min="15" max="15" width="72.42578125" style="90" customWidth="1"/>
    <col min="16" max="16384" width="9.140625" style="90"/>
  </cols>
  <sheetData>
    <row r="1" spans="2:21" ht="57" customHeight="1" thickBot="1" x14ac:dyDescent="0.4">
      <c r="B1" s="276" t="s">
        <v>355</v>
      </c>
      <c r="C1" s="277"/>
      <c r="D1" s="277"/>
      <c r="E1" s="277"/>
      <c r="F1" s="277"/>
      <c r="G1" s="277"/>
      <c r="H1" s="277"/>
      <c r="I1" s="277"/>
      <c r="J1" s="278"/>
      <c r="L1" s="91" t="s">
        <v>358</v>
      </c>
      <c r="M1" s="141"/>
      <c r="N1" s="279" t="s">
        <v>360</v>
      </c>
      <c r="O1" s="280"/>
      <c r="P1" s="141"/>
      <c r="Q1" s="141"/>
      <c r="R1" s="141"/>
      <c r="S1" s="141"/>
      <c r="T1" s="141"/>
      <c r="U1" s="141"/>
    </row>
    <row r="2" spans="2:21" ht="13.5" thickBot="1" x14ac:dyDescent="0.25">
      <c r="L2" s="94"/>
    </row>
    <row r="3" spans="2:21" ht="26.25" customHeight="1" thickBot="1" x14ac:dyDescent="0.25">
      <c r="B3" s="281" t="s">
        <v>357</v>
      </c>
      <c r="C3" s="282"/>
      <c r="D3" s="282"/>
      <c r="E3" s="283"/>
      <c r="G3" s="281" t="s">
        <v>356</v>
      </c>
      <c r="H3" s="282"/>
      <c r="I3" s="282"/>
      <c r="J3" s="283"/>
      <c r="L3" s="143" t="s">
        <v>359</v>
      </c>
      <c r="N3" s="95" t="s">
        <v>292</v>
      </c>
      <c r="O3" s="95" t="s">
        <v>4</v>
      </c>
    </row>
    <row r="4" spans="2:21" ht="25.5" customHeight="1" thickTop="1" thickBot="1" x14ac:dyDescent="0.25">
      <c r="B4" s="105" t="s">
        <v>306</v>
      </c>
      <c r="C4" s="144" t="s">
        <v>307</v>
      </c>
      <c r="D4" s="144" t="s">
        <v>308</v>
      </c>
      <c r="E4" s="145" t="s">
        <v>351</v>
      </c>
      <c r="F4" s="106"/>
      <c r="G4" s="105" t="s">
        <v>309</v>
      </c>
      <c r="H4" s="144" t="s">
        <v>307</v>
      </c>
      <c r="I4" s="144" t="s">
        <v>308</v>
      </c>
      <c r="J4" s="145" t="s">
        <v>351</v>
      </c>
      <c r="K4" s="106"/>
      <c r="L4" s="102" t="s">
        <v>366</v>
      </c>
      <c r="M4" s="92"/>
      <c r="N4" s="95">
        <v>1</v>
      </c>
      <c r="O4" s="97" t="s">
        <v>165</v>
      </c>
      <c r="P4" s="92"/>
      <c r="Q4" s="92"/>
      <c r="R4" s="92"/>
      <c r="S4" s="92"/>
      <c r="T4" s="92"/>
      <c r="U4" s="92"/>
    </row>
    <row r="5" spans="2:21" s="106" customFormat="1" ht="15" thickTop="1" x14ac:dyDescent="0.2">
      <c r="B5" s="108">
        <v>1.4</v>
      </c>
      <c r="C5" s="108"/>
      <c r="D5" s="120" t="str">
        <f>LEFT($C5, 1)</f>
        <v/>
      </c>
      <c r="E5" s="111" t="str">
        <f>D5</f>
        <v/>
      </c>
      <c r="F5" s="90"/>
      <c r="G5" s="108">
        <v>1.1000000000000001</v>
      </c>
      <c r="H5" s="108"/>
      <c r="I5" s="120" t="str">
        <f>LEFT($H5, 1)</f>
        <v/>
      </c>
      <c r="J5" s="111" t="str">
        <f>I5</f>
        <v/>
      </c>
      <c r="K5" s="90"/>
      <c r="L5" s="96" t="s">
        <v>367</v>
      </c>
      <c r="M5" s="92"/>
      <c r="N5" s="95">
        <v>2</v>
      </c>
      <c r="O5" s="97" t="s">
        <v>166</v>
      </c>
      <c r="P5" s="92"/>
      <c r="Q5" s="92"/>
      <c r="R5" s="92"/>
      <c r="S5" s="92"/>
      <c r="T5" s="92"/>
      <c r="U5" s="92"/>
    </row>
    <row r="6" spans="2:21" ht="14.25" x14ac:dyDescent="0.2">
      <c r="B6" s="112">
        <v>1.6</v>
      </c>
      <c r="C6" s="112"/>
      <c r="D6" s="121" t="str">
        <f t="shared" ref="D6:D47" si="0">LEFT($C6, 1)</f>
        <v/>
      </c>
      <c r="E6" s="113" t="str">
        <f>D6</f>
        <v/>
      </c>
      <c r="G6" s="112">
        <v>1.2</v>
      </c>
      <c r="H6" s="112"/>
      <c r="I6" s="121" t="str">
        <f t="shared" ref="I6:I60" si="1">LEFT($H6, 1)</f>
        <v/>
      </c>
      <c r="J6" s="113" t="str">
        <f t="shared" ref="J6:J60" si="2">I6</f>
        <v/>
      </c>
      <c r="L6" s="96" t="s">
        <v>368</v>
      </c>
      <c r="M6" s="92"/>
      <c r="N6" s="95">
        <v>3</v>
      </c>
      <c r="O6" s="97" t="s">
        <v>167</v>
      </c>
      <c r="P6" s="92"/>
      <c r="Q6" s="92"/>
      <c r="R6" s="92"/>
      <c r="S6" s="92"/>
      <c r="T6" s="92"/>
      <c r="U6" s="92"/>
    </row>
    <row r="7" spans="2:21" ht="14.25" x14ac:dyDescent="0.2">
      <c r="B7" s="108">
        <v>2.1</v>
      </c>
      <c r="C7" s="108"/>
      <c r="D7" s="120" t="str">
        <f t="shared" si="0"/>
        <v/>
      </c>
      <c r="E7" s="109" t="str">
        <f t="shared" ref="E7:E47" si="3">D7</f>
        <v/>
      </c>
      <c r="G7" s="108">
        <v>2.1</v>
      </c>
      <c r="H7" s="108"/>
      <c r="I7" s="120" t="str">
        <f t="shared" si="1"/>
        <v/>
      </c>
      <c r="J7" s="109" t="str">
        <f t="shared" si="2"/>
        <v/>
      </c>
      <c r="L7" s="96" t="s">
        <v>369</v>
      </c>
      <c r="M7" s="92"/>
      <c r="N7" s="95">
        <v>4</v>
      </c>
      <c r="O7" s="97" t="s">
        <v>294</v>
      </c>
      <c r="P7" s="92"/>
      <c r="Q7" s="92"/>
      <c r="R7" s="92"/>
      <c r="S7" s="92"/>
      <c r="T7" s="92"/>
      <c r="U7" s="92"/>
    </row>
    <row r="8" spans="2:21" ht="15" x14ac:dyDescent="0.2">
      <c r="B8" s="112">
        <v>2.2000000000000002</v>
      </c>
      <c r="C8" s="112"/>
      <c r="D8" s="121" t="str">
        <f t="shared" si="0"/>
        <v/>
      </c>
      <c r="E8" s="113" t="str">
        <f t="shared" si="3"/>
        <v/>
      </c>
      <c r="G8" s="112">
        <v>2.2000000000000002</v>
      </c>
      <c r="H8" s="112"/>
      <c r="I8" s="121" t="str">
        <f t="shared" si="1"/>
        <v/>
      </c>
      <c r="J8" s="113" t="str">
        <f t="shared" si="2"/>
        <v/>
      </c>
      <c r="L8" s="143" t="s">
        <v>370</v>
      </c>
      <c r="M8" s="92"/>
      <c r="N8" s="95">
        <v>5</v>
      </c>
      <c r="O8" s="97" t="s">
        <v>295</v>
      </c>
      <c r="P8" s="92"/>
      <c r="Q8" s="92"/>
      <c r="R8" s="92"/>
      <c r="S8" s="92"/>
      <c r="T8" s="92"/>
      <c r="U8" s="92"/>
    </row>
    <row r="9" spans="2:21" ht="28.5" x14ac:dyDescent="0.2">
      <c r="B9" s="108">
        <v>2.6</v>
      </c>
      <c r="C9" s="108"/>
      <c r="D9" s="120" t="str">
        <f>LEFT($C9, 1)</f>
        <v/>
      </c>
      <c r="E9" s="109" t="str">
        <f t="shared" si="3"/>
        <v/>
      </c>
      <c r="G9" s="108">
        <v>2.2999999999999998</v>
      </c>
      <c r="H9" s="108"/>
      <c r="I9" s="120" t="str">
        <f t="shared" si="1"/>
        <v/>
      </c>
      <c r="J9" s="109" t="str">
        <f>I9</f>
        <v/>
      </c>
      <c r="L9" s="102" t="s">
        <v>371</v>
      </c>
      <c r="M9" s="92"/>
      <c r="N9" s="92"/>
      <c r="O9" s="92"/>
      <c r="P9" s="92"/>
      <c r="Q9" s="92"/>
      <c r="R9" s="92"/>
      <c r="S9" s="92"/>
      <c r="T9" s="92"/>
      <c r="U9" s="92"/>
    </row>
    <row r="10" spans="2:21" ht="15" x14ac:dyDescent="0.2">
      <c r="B10" s="112">
        <v>3.4</v>
      </c>
      <c r="C10" s="112"/>
      <c r="D10" s="121" t="str">
        <f t="shared" si="0"/>
        <v/>
      </c>
      <c r="E10" s="113" t="str">
        <f t="shared" si="3"/>
        <v/>
      </c>
      <c r="G10" s="112">
        <v>3.1</v>
      </c>
      <c r="H10" s="112"/>
      <c r="I10" s="121" t="str">
        <f t="shared" si="1"/>
        <v/>
      </c>
      <c r="J10" s="113" t="str">
        <f t="shared" si="2"/>
        <v/>
      </c>
      <c r="L10" s="146" t="s">
        <v>372</v>
      </c>
      <c r="M10" s="92"/>
      <c r="N10" s="92"/>
      <c r="O10" s="92"/>
      <c r="P10" s="92"/>
      <c r="Q10" s="92"/>
      <c r="R10" s="92"/>
      <c r="S10" s="92"/>
      <c r="T10" s="92"/>
      <c r="U10" s="92"/>
    </row>
    <row r="11" spans="2:21" ht="42.75" x14ac:dyDescent="0.2">
      <c r="B11" s="108">
        <v>3.5</v>
      </c>
      <c r="C11" s="108"/>
      <c r="D11" s="120" t="str">
        <f t="shared" si="0"/>
        <v/>
      </c>
      <c r="E11" s="109" t="str">
        <f>D11</f>
        <v/>
      </c>
      <c r="G11" s="108">
        <v>3.2</v>
      </c>
      <c r="H11" s="108"/>
      <c r="I11" s="120" t="str">
        <f t="shared" si="1"/>
        <v/>
      </c>
      <c r="J11" s="109" t="str">
        <f t="shared" si="2"/>
        <v/>
      </c>
      <c r="L11" s="102" t="s">
        <v>373</v>
      </c>
      <c r="M11" s="92"/>
      <c r="N11" s="92"/>
      <c r="O11" s="92"/>
      <c r="P11" s="92"/>
      <c r="Q11" s="92"/>
      <c r="R11" s="92"/>
      <c r="S11" s="92"/>
      <c r="T11" s="92"/>
      <c r="U11" s="92"/>
    </row>
    <row r="12" spans="2:21" ht="14.25" x14ac:dyDescent="0.2">
      <c r="B12" s="112">
        <v>4.2</v>
      </c>
      <c r="C12" s="112"/>
      <c r="D12" s="121" t="str">
        <f t="shared" si="0"/>
        <v/>
      </c>
      <c r="E12" s="113" t="str">
        <f t="shared" si="3"/>
        <v/>
      </c>
      <c r="G12" s="112">
        <v>3.3</v>
      </c>
      <c r="H12" s="112"/>
      <c r="I12" s="121" t="str">
        <f t="shared" si="1"/>
        <v/>
      </c>
      <c r="J12" s="113" t="str">
        <f t="shared" si="2"/>
        <v/>
      </c>
      <c r="L12" s="96" t="s">
        <v>374</v>
      </c>
      <c r="M12" s="92"/>
      <c r="N12" s="92"/>
      <c r="O12" s="92"/>
      <c r="P12" s="92"/>
      <c r="Q12" s="92"/>
      <c r="R12" s="92"/>
      <c r="S12" s="92"/>
      <c r="T12" s="92"/>
      <c r="U12" s="92"/>
    </row>
    <row r="13" spans="2:21" ht="28.5" x14ac:dyDescent="0.2">
      <c r="B13" s="108">
        <v>4.3</v>
      </c>
      <c r="C13" s="108"/>
      <c r="D13" s="120" t="str">
        <f t="shared" si="0"/>
        <v/>
      </c>
      <c r="E13" s="109" t="str">
        <f t="shared" si="3"/>
        <v/>
      </c>
      <c r="G13" s="108">
        <v>3.4</v>
      </c>
      <c r="H13" s="108"/>
      <c r="I13" s="120" t="str">
        <f t="shared" si="1"/>
        <v/>
      </c>
      <c r="J13" s="109" t="str">
        <f t="shared" si="2"/>
        <v/>
      </c>
      <c r="L13" s="102" t="s">
        <v>427</v>
      </c>
      <c r="M13" s="92"/>
      <c r="N13" s="92"/>
      <c r="O13" s="92"/>
      <c r="P13" s="92"/>
      <c r="Q13" s="92"/>
      <c r="R13" s="92"/>
      <c r="S13" s="92"/>
      <c r="T13" s="92"/>
      <c r="U13" s="92"/>
    </row>
    <row r="14" spans="2:21" ht="14.25" x14ac:dyDescent="0.2">
      <c r="B14" s="112">
        <v>5.0999999999999996</v>
      </c>
      <c r="C14" s="112"/>
      <c r="D14" s="121" t="str">
        <f t="shared" si="0"/>
        <v/>
      </c>
      <c r="E14" s="113" t="str">
        <f t="shared" si="3"/>
        <v/>
      </c>
      <c r="G14" s="112">
        <v>3.5</v>
      </c>
      <c r="H14" s="112"/>
      <c r="I14" s="121" t="str">
        <f t="shared" si="1"/>
        <v/>
      </c>
      <c r="J14" s="113" t="str">
        <f t="shared" si="2"/>
        <v/>
      </c>
      <c r="L14" s="143" t="s">
        <v>352</v>
      </c>
      <c r="M14" s="92"/>
      <c r="N14" s="92"/>
      <c r="O14" s="92"/>
      <c r="P14" s="92"/>
      <c r="Q14" s="92"/>
      <c r="R14" s="92"/>
      <c r="S14" s="92"/>
      <c r="T14" s="92"/>
      <c r="U14" s="92"/>
    </row>
    <row r="15" spans="2:21" ht="42.75" x14ac:dyDescent="0.2">
      <c r="B15" s="108">
        <v>6.2</v>
      </c>
      <c r="C15" s="108"/>
      <c r="D15" s="120" t="str">
        <f t="shared" si="0"/>
        <v/>
      </c>
      <c r="E15" s="109" t="str">
        <f t="shared" si="3"/>
        <v/>
      </c>
      <c r="G15" s="108">
        <v>3.6</v>
      </c>
      <c r="H15" s="108"/>
      <c r="I15" s="120" t="str">
        <f t="shared" si="1"/>
        <v/>
      </c>
      <c r="J15" s="109" t="str">
        <f t="shared" si="2"/>
        <v/>
      </c>
      <c r="L15" s="147" t="s">
        <v>353</v>
      </c>
      <c r="M15" s="92"/>
      <c r="N15" s="92"/>
      <c r="O15" s="92"/>
      <c r="P15" s="92"/>
      <c r="Q15" s="92"/>
      <c r="R15" s="92"/>
      <c r="S15" s="92"/>
      <c r="T15" s="92"/>
      <c r="U15" s="92"/>
    </row>
    <row r="16" spans="2:21" ht="14.25" x14ac:dyDescent="0.2">
      <c r="B16" s="112">
        <v>7.1</v>
      </c>
      <c r="C16" s="112"/>
      <c r="D16" s="121" t="str">
        <f t="shared" si="0"/>
        <v/>
      </c>
      <c r="E16" s="113" t="str">
        <f t="shared" si="3"/>
        <v/>
      </c>
      <c r="G16" s="112">
        <v>4.0999999999999996</v>
      </c>
      <c r="H16" s="112"/>
      <c r="I16" s="121" t="str">
        <f t="shared" si="1"/>
        <v/>
      </c>
      <c r="J16" s="113" t="str">
        <f t="shared" si="2"/>
        <v/>
      </c>
      <c r="L16" s="96" t="s">
        <v>383</v>
      </c>
      <c r="M16" s="92"/>
      <c r="N16" s="92"/>
      <c r="O16" s="92"/>
      <c r="P16" s="92"/>
      <c r="Q16" s="92"/>
      <c r="R16" s="92"/>
      <c r="S16" s="92"/>
      <c r="T16" s="92"/>
      <c r="U16" s="92"/>
    </row>
    <row r="17" spans="2:21" ht="44.25" thickBot="1" x14ac:dyDescent="0.25">
      <c r="B17" s="108">
        <v>7.7</v>
      </c>
      <c r="C17" s="108"/>
      <c r="D17" s="120" t="str">
        <f t="shared" si="0"/>
        <v/>
      </c>
      <c r="E17" s="109" t="str">
        <f t="shared" si="3"/>
        <v/>
      </c>
      <c r="G17" s="108">
        <v>4.2</v>
      </c>
      <c r="H17" s="108"/>
      <c r="I17" s="120" t="str">
        <f t="shared" si="1"/>
        <v/>
      </c>
      <c r="J17" s="109" t="str">
        <f t="shared" si="2"/>
        <v/>
      </c>
      <c r="L17" s="148" t="s">
        <v>362</v>
      </c>
      <c r="M17" s="92"/>
      <c r="N17" s="92"/>
      <c r="O17" s="92"/>
      <c r="P17" s="92"/>
      <c r="Q17" s="92"/>
      <c r="R17" s="92"/>
      <c r="S17" s="92"/>
      <c r="T17" s="92"/>
      <c r="U17" s="92"/>
    </row>
    <row r="18" spans="2:21" x14ac:dyDescent="0.2">
      <c r="B18" s="112">
        <v>8.1999999999999993</v>
      </c>
      <c r="C18" s="112"/>
      <c r="D18" s="121" t="str">
        <f t="shared" si="0"/>
        <v/>
      </c>
      <c r="E18" s="113" t="str">
        <f t="shared" si="3"/>
        <v/>
      </c>
      <c r="G18" s="112">
        <v>4.3</v>
      </c>
      <c r="H18" s="112"/>
      <c r="I18" s="121" t="str">
        <f t="shared" si="1"/>
        <v/>
      </c>
      <c r="J18" s="113" t="str">
        <f t="shared" si="2"/>
        <v/>
      </c>
      <c r="L18" s="92"/>
      <c r="M18" s="92"/>
      <c r="N18" s="92"/>
      <c r="O18" s="92"/>
      <c r="P18" s="92"/>
      <c r="Q18" s="92"/>
      <c r="R18" s="92"/>
      <c r="S18" s="92"/>
      <c r="T18" s="92"/>
      <c r="U18" s="92"/>
    </row>
    <row r="19" spans="2:21" x14ac:dyDescent="0.2">
      <c r="B19" s="108">
        <v>8.4</v>
      </c>
      <c r="C19" s="108"/>
      <c r="D19" s="120" t="str">
        <f t="shared" si="0"/>
        <v/>
      </c>
      <c r="E19" s="109" t="str">
        <f t="shared" si="3"/>
        <v/>
      </c>
      <c r="G19" s="108">
        <v>4.4000000000000004</v>
      </c>
      <c r="H19" s="108"/>
      <c r="I19" s="120" t="str">
        <f t="shared" si="1"/>
        <v/>
      </c>
      <c r="J19" s="109" t="str">
        <f t="shared" si="2"/>
        <v/>
      </c>
      <c r="L19" s="92"/>
      <c r="M19" s="92"/>
      <c r="N19" s="92"/>
      <c r="O19" s="92"/>
      <c r="P19" s="92"/>
      <c r="Q19" s="92"/>
      <c r="R19" s="92"/>
      <c r="S19" s="92"/>
      <c r="T19" s="92"/>
      <c r="U19" s="92"/>
    </row>
    <row r="20" spans="2:21" x14ac:dyDescent="0.2">
      <c r="B20" s="112">
        <v>8.5</v>
      </c>
      <c r="C20" s="112"/>
      <c r="D20" s="121" t="str">
        <f t="shared" si="0"/>
        <v/>
      </c>
      <c r="E20" s="113" t="str">
        <f t="shared" si="3"/>
        <v/>
      </c>
      <c r="G20" s="112">
        <v>4.5</v>
      </c>
      <c r="H20" s="112"/>
      <c r="I20" s="121" t="str">
        <f t="shared" si="1"/>
        <v/>
      </c>
      <c r="J20" s="113" t="str">
        <f t="shared" si="2"/>
        <v/>
      </c>
      <c r="L20" s="149"/>
      <c r="M20" s="92"/>
      <c r="N20" s="92"/>
      <c r="O20" s="92"/>
      <c r="P20" s="92"/>
      <c r="Q20" s="92"/>
      <c r="R20" s="92"/>
      <c r="S20" s="92"/>
      <c r="T20" s="92"/>
      <c r="U20" s="92"/>
    </row>
    <row r="21" spans="2:21" x14ac:dyDescent="0.2">
      <c r="B21" s="108">
        <v>9.4</v>
      </c>
      <c r="C21" s="108"/>
      <c r="D21" s="120" t="str">
        <f t="shared" si="0"/>
        <v/>
      </c>
      <c r="E21" s="109" t="str">
        <f t="shared" si="3"/>
        <v/>
      </c>
      <c r="G21" s="108">
        <v>4.5999999999999996</v>
      </c>
      <c r="H21" s="108"/>
      <c r="I21" s="120" t="str">
        <f t="shared" si="1"/>
        <v/>
      </c>
      <c r="J21" s="109" t="str">
        <f t="shared" si="2"/>
        <v/>
      </c>
      <c r="L21" s="149"/>
      <c r="M21" s="149"/>
      <c r="N21" s="149"/>
      <c r="O21" s="149"/>
      <c r="P21" s="149"/>
      <c r="Q21" s="149"/>
      <c r="R21" s="149"/>
      <c r="S21" s="149"/>
      <c r="T21" s="149"/>
      <c r="U21" s="149"/>
    </row>
    <row r="22" spans="2:21" x14ac:dyDescent="0.2">
      <c r="B22" s="112">
        <v>10.1</v>
      </c>
      <c r="C22" s="112"/>
      <c r="D22" s="121" t="str">
        <f t="shared" si="0"/>
        <v/>
      </c>
      <c r="E22" s="113" t="str">
        <f t="shared" si="3"/>
        <v/>
      </c>
      <c r="G22" s="112">
        <v>4.7</v>
      </c>
      <c r="H22" s="112"/>
      <c r="I22" s="121" t="str">
        <f t="shared" si="1"/>
        <v/>
      </c>
      <c r="J22" s="113" t="str">
        <f t="shared" si="2"/>
        <v/>
      </c>
      <c r="L22" s="149"/>
      <c r="M22" s="149"/>
      <c r="N22" s="149"/>
      <c r="O22" s="149"/>
      <c r="P22" s="149"/>
      <c r="Q22" s="149"/>
      <c r="R22" s="149"/>
      <c r="S22" s="149"/>
      <c r="T22" s="149"/>
      <c r="U22" s="149"/>
    </row>
    <row r="23" spans="2:21" x14ac:dyDescent="0.2">
      <c r="B23" s="108">
        <v>10.199999999999999</v>
      </c>
      <c r="C23" s="108"/>
      <c r="D23" s="120" t="str">
        <f t="shared" si="0"/>
        <v/>
      </c>
      <c r="E23" s="109" t="str">
        <f t="shared" si="3"/>
        <v/>
      </c>
      <c r="G23" s="108">
        <v>5.0999999999999996</v>
      </c>
      <c r="H23" s="108"/>
      <c r="I23" s="120" t="str">
        <f t="shared" si="1"/>
        <v/>
      </c>
      <c r="J23" s="109" t="str">
        <f t="shared" si="2"/>
        <v/>
      </c>
      <c r="L23" s="149"/>
      <c r="M23" s="149"/>
      <c r="N23" s="149"/>
      <c r="O23" s="149"/>
      <c r="P23" s="149"/>
      <c r="Q23" s="149"/>
      <c r="R23" s="149"/>
      <c r="S23" s="149"/>
      <c r="T23" s="149"/>
      <c r="U23" s="149"/>
    </row>
    <row r="24" spans="2:21" x14ac:dyDescent="0.2">
      <c r="B24" s="112">
        <v>10.4</v>
      </c>
      <c r="C24" s="112"/>
      <c r="D24" s="121" t="str">
        <f t="shared" si="0"/>
        <v/>
      </c>
      <c r="E24" s="113" t="str">
        <f t="shared" si="3"/>
        <v/>
      </c>
      <c r="G24" s="112">
        <v>5.2</v>
      </c>
      <c r="H24" s="112"/>
      <c r="I24" s="121" t="str">
        <f t="shared" si="1"/>
        <v/>
      </c>
      <c r="J24" s="113" t="str">
        <f t="shared" si="2"/>
        <v/>
      </c>
      <c r="L24" s="149"/>
      <c r="M24" s="149"/>
      <c r="N24" s="149"/>
      <c r="O24" s="149"/>
      <c r="P24" s="149"/>
      <c r="Q24" s="149"/>
      <c r="R24" s="149"/>
      <c r="S24" s="149"/>
      <c r="T24" s="149"/>
      <c r="U24" s="149"/>
    </row>
    <row r="25" spans="2:21" x14ac:dyDescent="0.2">
      <c r="B25" s="108">
        <v>10.5</v>
      </c>
      <c r="C25" s="108"/>
      <c r="D25" s="120" t="str">
        <f t="shared" si="0"/>
        <v/>
      </c>
      <c r="E25" s="109" t="str">
        <f t="shared" si="3"/>
        <v/>
      </c>
      <c r="G25" s="108">
        <v>5.3</v>
      </c>
      <c r="H25" s="108"/>
      <c r="I25" s="120" t="str">
        <f t="shared" si="1"/>
        <v/>
      </c>
      <c r="J25" s="109" t="str">
        <f t="shared" si="2"/>
        <v/>
      </c>
      <c r="L25" s="149"/>
      <c r="M25" s="149"/>
      <c r="N25" s="149"/>
      <c r="O25" s="149"/>
      <c r="P25" s="149"/>
      <c r="Q25" s="149"/>
      <c r="R25" s="149"/>
      <c r="S25" s="149"/>
      <c r="T25" s="149"/>
      <c r="U25" s="149"/>
    </row>
    <row r="26" spans="2:21" x14ac:dyDescent="0.2">
      <c r="B26" s="112">
        <v>11.4</v>
      </c>
      <c r="C26" s="112"/>
      <c r="D26" s="121" t="str">
        <f t="shared" si="0"/>
        <v/>
      </c>
      <c r="E26" s="113" t="str">
        <f t="shared" si="3"/>
        <v/>
      </c>
      <c r="G26" s="112">
        <v>5.4</v>
      </c>
      <c r="H26" s="112"/>
      <c r="I26" s="121" t="str">
        <f t="shared" si="1"/>
        <v/>
      </c>
      <c r="J26" s="113" t="str">
        <f t="shared" si="2"/>
        <v/>
      </c>
      <c r="L26" s="149"/>
      <c r="M26" s="149"/>
      <c r="N26" s="149"/>
      <c r="O26" s="149"/>
      <c r="P26" s="149"/>
      <c r="Q26" s="149"/>
      <c r="R26" s="149"/>
      <c r="S26" s="149"/>
      <c r="T26" s="149"/>
      <c r="U26" s="149"/>
    </row>
    <row r="27" spans="2:21" x14ac:dyDescent="0.2">
      <c r="B27" s="108">
        <v>12.1</v>
      </c>
      <c r="C27" s="108"/>
      <c r="D27" s="120" t="str">
        <f t="shared" si="0"/>
        <v/>
      </c>
      <c r="E27" s="109" t="str">
        <f t="shared" si="3"/>
        <v/>
      </c>
      <c r="G27" s="108">
        <v>6.1</v>
      </c>
      <c r="H27" s="108"/>
      <c r="I27" s="120" t="str">
        <f t="shared" si="1"/>
        <v/>
      </c>
      <c r="J27" s="109" t="str">
        <f t="shared" si="2"/>
        <v/>
      </c>
      <c r="L27" s="149"/>
      <c r="M27" s="149"/>
      <c r="N27" s="149"/>
      <c r="O27" s="149"/>
      <c r="P27" s="149"/>
      <c r="Q27" s="149"/>
      <c r="R27" s="149"/>
      <c r="S27" s="149"/>
      <c r="T27" s="149"/>
      <c r="U27" s="149"/>
    </row>
    <row r="28" spans="2:21" x14ac:dyDescent="0.2">
      <c r="B28" s="112">
        <v>12.4</v>
      </c>
      <c r="C28" s="112"/>
      <c r="D28" s="121" t="str">
        <f t="shared" si="0"/>
        <v/>
      </c>
      <c r="E28" s="113" t="str">
        <f t="shared" si="3"/>
        <v/>
      </c>
      <c r="G28" s="112">
        <v>6.2</v>
      </c>
      <c r="H28" s="112"/>
      <c r="I28" s="121" t="str">
        <f t="shared" si="1"/>
        <v/>
      </c>
      <c r="J28" s="113" t="str">
        <f t="shared" si="2"/>
        <v/>
      </c>
      <c r="L28" s="149"/>
      <c r="M28" s="149"/>
      <c r="N28" s="149"/>
      <c r="O28" s="149"/>
      <c r="P28" s="149"/>
      <c r="Q28" s="149"/>
      <c r="R28" s="149"/>
      <c r="S28" s="149"/>
      <c r="T28" s="149"/>
      <c r="U28" s="149"/>
    </row>
    <row r="29" spans="2:21" x14ac:dyDescent="0.2">
      <c r="B29" s="108">
        <v>13.1</v>
      </c>
      <c r="C29" s="108"/>
      <c r="D29" s="120" t="str">
        <f t="shared" si="0"/>
        <v/>
      </c>
      <c r="E29" s="109" t="str">
        <f t="shared" si="3"/>
        <v/>
      </c>
      <c r="G29" s="108">
        <v>6.3</v>
      </c>
      <c r="H29" s="108"/>
      <c r="I29" s="120" t="str">
        <f t="shared" si="1"/>
        <v/>
      </c>
      <c r="J29" s="109" t="str">
        <f t="shared" si="2"/>
        <v/>
      </c>
      <c r="L29" s="149"/>
      <c r="M29" s="149"/>
      <c r="N29" s="149"/>
      <c r="O29" s="149"/>
      <c r="P29" s="149"/>
      <c r="Q29" s="149"/>
      <c r="R29" s="149"/>
      <c r="S29" s="149"/>
      <c r="T29" s="149"/>
      <c r="U29" s="149"/>
    </row>
    <row r="30" spans="2:21" x14ac:dyDescent="0.2">
      <c r="B30" s="112">
        <v>13.2</v>
      </c>
      <c r="C30" s="112"/>
      <c r="D30" s="121" t="str">
        <f t="shared" si="0"/>
        <v/>
      </c>
      <c r="E30" s="113" t="str">
        <f t="shared" si="3"/>
        <v/>
      </c>
      <c r="G30" s="112">
        <v>6.4</v>
      </c>
      <c r="H30" s="112"/>
      <c r="I30" s="121" t="str">
        <f t="shared" si="1"/>
        <v/>
      </c>
      <c r="J30" s="113" t="str">
        <f t="shared" si="2"/>
        <v/>
      </c>
      <c r="L30" s="149"/>
      <c r="M30" s="149"/>
      <c r="N30" s="149"/>
      <c r="O30" s="149"/>
      <c r="P30" s="149"/>
      <c r="Q30" s="149"/>
      <c r="R30" s="149"/>
      <c r="S30" s="149"/>
      <c r="T30" s="149"/>
      <c r="U30" s="149"/>
    </row>
    <row r="31" spans="2:21" x14ac:dyDescent="0.2">
      <c r="B31" s="108">
        <v>13.6</v>
      </c>
      <c r="C31" s="108"/>
      <c r="D31" s="120" t="str">
        <f t="shared" si="0"/>
        <v/>
      </c>
      <c r="E31" s="109" t="str">
        <f t="shared" si="3"/>
        <v/>
      </c>
      <c r="G31" s="108">
        <v>6.5</v>
      </c>
      <c r="H31" s="108"/>
      <c r="I31" s="120" t="str">
        <f t="shared" si="1"/>
        <v/>
      </c>
      <c r="J31" s="109" t="str">
        <f t="shared" si="2"/>
        <v/>
      </c>
      <c r="L31" s="149"/>
      <c r="M31" s="149"/>
      <c r="N31" s="149"/>
      <c r="O31" s="149"/>
      <c r="P31" s="149"/>
      <c r="Q31" s="149"/>
      <c r="R31" s="149"/>
      <c r="S31" s="149"/>
      <c r="T31" s="149"/>
      <c r="U31" s="149"/>
    </row>
    <row r="32" spans="2:21" x14ac:dyDescent="0.2">
      <c r="B32" s="112">
        <v>14.6</v>
      </c>
      <c r="C32" s="112"/>
      <c r="D32" s="121" t="str">
        <f t="shared" si="0"/>
        <v/>
      </c>
      <c r="E32" s="113" t="str">
        <f t="shared" si="3"/>
        <v/>
      </c>
      <c r="G32" s="112">
        <v>7.1</v>
      </c>
      <c r="H32" s="112"/>
      <c r="I32" s="121" t="str">
        <f t="shared" si="1"/>
        <v/>
      </c>
      <c r="J32" s="113" t="str">
        <f t="shared" si="2"/>
        <v/>
      </c>
      <c r="L32" s="149"/>
      <c r="M32" s="149"/>
      <c r="N32" s="149"/>
      <c r="O32" s="149"/>
      <c r="P32" s="149"/>
      <c r="Q32" s="149"/>
      <c r="R32" s="149"/>
      <c r="S32" s="149"/>
      <c r="T32" s="149"/>
      <c r="U32" s="149"/>
    </row>
    <row r="33" spans="2:21" x14ac:dyDescent="0.2">
      <c r="B33" s="108">
        <v>15.7</v>
      </c>
      <c r="C33" s="108"/>
      <c r="D33" s="120" t="str">
        <f t="shared" si="0"/>
        <v/>
      </c>
      <c r="E33" s="109" t="str">
        <f t="shared" si="3"/>
        <v/>
      </c>
      <c r="G33" s="108">
        <v>7.2</v>
      </c>
      <c r="H33" s="108"/>
      <c r="I33" s="120" t="str">
        <f t="shared" si="1"/>
        <v/>
      </c>
      <c r="J33" s="109" t="str">
        <f t="shared" si="2"/>
        <v/>
      </c>
      <c r="L33" s="149"/>
      <c r="M33" s="149"/>
      <c r="N33" s="149"/>
      <c r="O33" s="149"/>
      <c r="P33" s="149"/>
      <c r="Q33" s="149"/>
      <c r="R33" s="149"/>
      <c r="S33" s="149"/>
      <c r="T33" s="149"/>
      <c r="U33" s="149"/>
    </row>
    <row r="34" spans="2:21" x14ac:dyDescent="0.2">
      <c r="B34" s="115">
        <v>15.1</v>
      </c>
      <c r="C34" s="112"/>
      <c r="D34" s="121" t="str">
        <f t="shared" si="0"/>
        <v/>
      </c>
      <c r="E34" s="113" t="str">
        <f t="shared" si="3"/>
        <v/>
      </c>
      <c r="G34" s="112">
        <v>7.3</v>
      </c>
      <c r="H34" s="112"/>
      <c r="I34" s="121" t="str">
        <f t="shared" si="1"/>
        <v/>
      </c>
      <c r="J34" s="113" t="str">
        <f t="shared" si="2"/>
        <v/>
      </c>
      <c r="L34" s="149"/>
      <c r="M34" s="149"/>
      <c r="N34" s="149"/>
      <c r="O34" s="149"/>
      <c r="P34" s="149"/>
      <c r="Q34" s="149"/>
      <c r="R34" s="149"/>
      <c r="S34" s="149"/>
      <c r="T34" s="149"/>
      <c r="U34" s="149"/>
    </row>
    <row r="35" spans="2:21" x14ac:dyDescent="0.2">
      <c r="B35" s="108">
        <v>16.8</v>
      </c>
      <c r="C35" s="108"/>
      <c r="D35" s="120" t="str">
        <f t="shared" si="0"/>
        <v/>
      </c>
      <c r="E35" s="109" t="str">
        <f t="shared" si="3"/>
        <v/>
      </c>
      <c r="G35" s="108">
        <v>7.4</v>
      </c>
      <c r="H35" s="108"/>
      <c r="I35" s="120" t="str">
        <f t="shared" si="1"/>
        <v/>
      </c>
      <c r="J35" s="109" t="str">
        <f t="shared" si="2"/>
        <v/>
      </c>
      <c r="L35" s="149"/>
      <c r="M35" s="149"/>
      <c r="N35" s="149"/>
      <c r="O35" s="149"/>
      <c r="P35" s="149"/>
      <c r="Q35" s="149"/>
      <c r="R35" s="149"/>
      <c r="S35" s="149"/>
      <c r="T35" s="149"/>
      <c r="U35" s="149"/>
    </row>
    <row r="36" spans="2:21" x14ac:dyDescent="0.2">
      <c r="B36" s="112">
        <v>16.899999999999999</v>
      </c>
      <c r="C36" s="112"/>
      <c r="D36" s="121" t="str">
        <f t="shared" si="0"/>
        <v/>
      </c>
      <c r="E36" s="113" t="str">
        <f t="shared" si="3"/>
        <v/>
      </c>
      <c r="G36" s="112">
        <v>8.1</v>
      </c>
      <c r="H36" s="112"/>
      <c r="I36" s="121" t="str">
        <f t="shared" si="1"/>
        <v/>
      </c>
      <c r="J36" s="113" t="str">
        <f t="shared" si="2"/>
        <v/>
      </c>
      <c r="L36" s="149"/>
      <c r="M36" s="149"/>
      <c r="N36" s="149"/>
      <c r="O36" s="149"/>
      <c r="P36" s="149"/>
      <c r="Q36" s="149"/>
      <c r="R36" s="149"/>
      <c r="S36" s="149"/>
      <c r="T36" s="149"/>
      <c r="U36" s="149"/>
    </row>
    <row r="37" spans="2:21" x14ac:dyDescent="0.2">
      <c r="B37" s="108">
        <v>16.11</v>
      </c>
      <c r="C37" s="108"/>
      <c r="D37" s="120" t="str">
        <f t="shared" si="0"/>
        <v/>
      </c>
      <c r="E37" s="109" t="str">
        <f t="shared" si="3"/>
        <v/>
      </c>
      <c r="G37" s="108">
        <v>8.1999999999999993</v>
      </c>
      <c r="H37" s="108"/>
      <c r="I37" s="120" t="str">
        <f t="shared" si="1"/>
        <v/>
      </c>
      <c r="J37" s="109" t="str">
        <f t="shared" si="2"/>
        <v/>
      </c>
      <c r="L37" s="149"/>
      <c r="M37" s="149"/>
      <c r="N37" s="149"/>
      <c r="O37" s="149"/>
      <c r="P37" s="149"/>
      <c r="Q37" s="149"/>
      <c r="R37" s="149"/>
      <c r="S37" s="149"/>
      <c r="T37" s="149"/>
      <c r="U37" s="149"/>
    </row>
    <row r="38" spans="2:21" x14ac:dyDescent="0.2">
      <c r="B38" s="112">
        <v>17.3</v>
      </c>
      <c r="C38" s="112"/>
      <c r="D38" s="121" t="str">
        <f t="shared" si="0"/>
        <v/>
      </c>
      <c r="E38" s="113" t="str">
        <f t="shared" si="3"/>
        <v/>
      </c>
      <c r="G38" s="112">
        <v>8.3000000000000007</v>
      </c>
      <c r="H38" s="112"/>
      <c r="I38" s="121" t="str">
        <f t="shared" si="1"/>
        <v/>
      </c>
      <c r="J38" s="113" t="str">
        <f t="shared" si="2"/>
        <v/>
      </c>
      <c r="L38" s="149"/>
      <c r="M38" s="149"/>
      <c r="N38" s="149"/>
      <c r="O38" s="149"/>
      <c r="P38" s="149"/>
      <c r="Q38" s="149"/>
      <c r="R38" s="149"/>
      <c r="S38" s="149"/>
      <c r="T38" s="149"/>
      <c r="U38" s="149"/>
    </row>
    <row r="39" spans="2:21" x14ac:dyDescent="0.2">
      <c r="B39" s="108">
        <v>17.5</v>
      </c>
      <c r="C39" s="108"/>
      <c r="D39" s="120" t="str">
        <f t="shared" si="0"/>
        <v/>
      </c>
      <c r="E39" s="109" t="str">
        <f t="shared" si="3"/>
        <v/>
      </c>
      <c r="G39" s="108">
        <v>9.1</v>
      </c>
      <c r="H39" s="108"/>
      <c r="I39" s="120" t="str">
        <f t="shared" si="1"/>
        <v/>
      </c>
      <c r="J39" s="109" t="str">
        <f t="shared" si="2"/>
        <v/>
      </c>
      <c r="L39" s="149"/>
      <c r="M39" s="149"/>
      <c r="N39" s="149"/>
      <c r="O39" s="149"/>
      <c r="P39" s="149"/>
      <c r="Q39" s="149"/>
      <c r="R39" s="149"/>
      <c r="S39" s="149"/>
      <c r="T39" s="149"/>
      <c r="U39" s="149"/>
    </row>
    <row r="40" spans="2:21" x14ac:dyDescent="0.2">
      <c r="B40" s="112">
        <v>17.600000000000001</v>
      </c>
      <c r="C40" s="112"/>
      <c r="D40" s="121" t="str">
        <f t="shared" si="0"/>
        <v/>
      </c>
      <c r="E40" s="113" t="str">
        <f t="shared" si="3"/>
        <v/>
      </c>
      <c r="G40" s="112">
        <v>9.1999999999999993</v>
      </c>
      <c r="H40" s="112"/>
      <c r="I40" s="121" t="str">
        <f t="shared" si="1"/>
        <v/>
      </c>
      <c r="J40" s="113" t="str">
        <f t="shared" si="2"/>
        <v/>
      </c>
      <c r="L40" s="149"/>
      <c r="M40" s="149"/>
      <c r="N40" s="149"/>
      <c r="O40" s="149"/>
      <c r="P40" s="149"/>
      <c r="Q40" s="149"/>
      <c r="R40" s="149"/>
      <c r="S40" s="149"/>
      <c r="T40" s="149"/>
      <c r="U40" s="149"/>
    </row>
    <row r="41" spans="2:21" x14ac:dyDescent="0.2">
      <c r="B41" s="108">
        <v>17.7</v>
      </c>
      <c r="C41" s="108"/>
      <c r="D41" s="120" t="str">
        <f t="shared" si="0"/>
        <v/>
      </c>
      <c r="E41" s="109" t="str">
        <f t="shared" si="3"/>
        <v/>
      </c>
      <c r="G41" s="108">
        <v>10.1</v>
      </c>
      <c r="H41" s="108"/>
      <c r="I41" s="120" t="str">
        <f t="shared" si="1"/>
        <v/>
      </c>
      <c r="J41" s="109" t="str">
        <f t="shared" si="2"/>
        <v/>
      </c>
      <c r="L41" s="149"/>
      <c r="M41" s="149"/>
      <c r="N41" s="149"/>
      <c r="O41" s="149"/>
      <c r="P41" s="149"/>
      <c r="Q41" s="149"/>
      <c r="R41" s="149"/>
      <c r="S41" s="149"/>
      <c r="T41" s="149"/>
      <c r="U41" s="149"/>
    </row>
    <row r="42" spans="2:21" x14ac:dyDescent="0.2">
      <c r="B42" s="112">
        <v>17.8</v>
      </c>
      <c r="C42" s="112"/>
      <c r="D42" s="121" t="str">
        <f t="shared" si="0"/>
        <v/>
      </c>
      <c r="E42" s="113" t="str">
        <f t="shared" si="3"/>
        <v/>
      </c>
      <c r="G42" s="112">
        <v>10.199999999999999</v>
      </c>
      <c r="H42" s="112"/>
      <c r="I42" s="121" t="str">
        <f t="shared" si="1"/>
        <v/>
      </c>
      <c r="J42" s="113" t="str">
        <f t="shared" si="2"/>
        <v/>
      </c>
      <c r="L42" s="149"/>
      <c r="M42" s="149"/>
      <c r="N42" s="149"/>
      <c r="O42" s="149"/>
      <c r="P42" s="149"/>
      <c r="Q42" s="149"/>
      <c r="R42" s="149"/>
      <c r="S42" s="149"/>
      <c r="T42" s="149"/>
      <c r="U42" s="149"/>
    </row>
    <row r="43" spans="2:21" x14ac:dyDescent="0.2">
      <c r="B43" s="108">
        <v>17.899999999999999</v>
      </c>
      <c r="C43" s="108"/>
      <c r="D43" s="120" t="str">
        <f t="shared" si="0"/>
        <v/>
      </c>
      <c r="E43" s="109" t="str">
        <f t="shared" si="3"/>
        <v/>
      </c>
      <c r="G43" s="108">
        <v>10.3</v>
      </c>
      <c r="H43" s="108"/>
      <c r="I43" s="120" t="str">
        <f t="shared" si="1"/>
        <v/>
      </c>
      <c r="J43" s="109" t="str">
        <f t="shared" si="2"/>
        <v/>
      </c>
      <c r="L43" s="149"/>
      <c r="M43" s="149"/>
      <c r="N43" s="149"/>
      <c r="O43" s="149"/>
      <c r="P43" s="149"/>
      <c r="Q43" s="149"/>
      <c r="R43" s="149"/>
      <c r="S43" s="149"/>
      <c r="T43" s="149"/>
      <c r="U43" s="149"/>
    </row>
    <row r="44" spans="2:21" x14ac:dyDescent="0.2">
      <c r="B44" s="112">
        <v>19.100000000000001</v>
      </c>
      <c r="C44" s="112"/>
      <c r="D44" s="121" t="str">
        <f t="shared" si="0"/>
        <v/>
      </c>
      <c r="E44" s="113" t="str">
        <f t="shared" si="3"/>
        <v/>
      </c>
      <c r="G44" s="112">
        <v>11.1</v>
      </c>
      <c r="H44" s="112"/>
      <c r="I44" s="121" t="str">
        <f t="shared" si="1"/>
        <v/>
      </c>
      <c r="J44" s="113" t="str">
        <f t="shared" si="2"/>
        <v/>
      </c>
      <c r="L44" s="149"/>
      <c r="M44" s="149"/>
      <c r="N44" s="149"/>
      <c r="O44" s="149"/>
      <c r="P44" s="149"/>
      <c r="Q44" s="149"/>
      <c r="R44" s="149"/>
      <c r="S44" s="149"/>
      <c r="T44" s="149"/>
      <c r="U44" s="149"/>
    </row>
    <row r="45" spans="2:21" x14ac:dyDescent="0.2">
      <c r="B45" s="108">
        <v>19.3</v>
      </c>
      <c r="C45" s="108"/>
      <c r="D45" s="120" t="str">
        <f t="shared" si="0"/>
        <v/>
      </c>
      <c r="E45" s="109" t="str">
        <f t="shared" si="3"/>
        <v/>
      </c>
      <c r="G45" s="108">
        <v>11.2</v>
      </c>
      <c r="H45" s="108"/>
      <c r="I45" s="120" t="str">
        <f t="shared" si="1"/>
        <v/>
      </c>
      <c r="J45" s="109" t="str">
        <f t="shared" si="2"/>
        <v/>
      </c>
      <c r="L45" s="149"/>
      <c r="M45" s="149"/>
      <c r="N45" s="149"/>
      <c r="O45" s="149"/>
      <c r="P45" s="149"/>
      <c r="Q45" s="149"/>
      <c r="R45" s="149"/>
      <c r="S45" s="149"/>
      <c r="T45" s="149"/>
      <c r="U45" s="149"/>
    </row>
    <row r="46" spans="2:21" x14ac:dyDescent="0.2">
      <c r="B46" s="112">
        <v>19.5</v>
      </c>
      <c r="C46" s="112"/>
      <c r="D46" s="121" t="str">
        <f t="shared" si="0"/>
        <v/>
      </c>
      <c r="E46" s="113" t="str">
        <f t="shared" si="3"/>
        <v/>
      </c>
      <c r="G46" s="112">
        <v>11.3</v>
      </c>
      <c r="H46" s="112"/>
      <c r="I46" s="121" t="str">
        <f t="shared" si="1"/>
        <v/>
      </c>
      <c r="J46" s="113" t="str">
        <f t="shared" si="2"/>
        <v/>
      </c>
      <c r="L46" s="149"/>
      <c r="M46" s="149"/>
      <c r="N46" s="149"/>
      <c r="O46" s="149"/>
      <c r="P46" s="149"/>
      <c r="Q46" s="149"/>
      <c r="R46" s="149"/>
      <c r="S46" s="149"/>
      <c r="T46" s="149"/>
      <c r="U46" s="149"/>
    </row>
    <row r="47" spans="2:21" ht="13.5" thickBot="1" x14ac:dyDescent="0.25">
      <c r="B47" s="116">
        <v>19.600000000000001</v>
      </c>
      <c r="C47" s="116"/>
      <c r="D47" s="122" t="str">
        <f t="shared" si="0"/>
        <v/>
      </c>
      <c r="E47" s="117" t="str">
        <f t="shared" si="3"/>
        <v/>
      </c>
      <c r="G47" s="108">
        <v>11.4</v>
      </c>
      <c r="H47" s="108"/>
      <c r="I47" s="120" t="str">
        <f t="shared" si="1"/>
        <v/>
      </c>
      <c r="J47" s="109" t="str">
        <f t="shared" si="2"/>
        <v/>
      </c>
      <c r="L47" s="149"/>
      <c r="M47" s="149"/>
      <c r="N47" s="149"/>
      <c r="O47" s="149"/>
      <c r="P47" s="149"/>
      <c r="Q47" s="149"/>
      <c r="R47" s="149"/>
      <c r="S47" s="149"/>
      <c r="T47" s="149"/>
      <c r="U47" s="149"/>
    </row>
    <row r="48" spans="2:21" x14ac:dyDescent="0.2">
      <c r="G48" s="112">
        <v>12.1</v>
      </c>
      <c r="H48" s="112"/>
      <c r="I48" s="121" t="str">
        <f t="shared" si="1"/>
        <v/>
      </c>
      <c r="J48" s="113" t="str">
        <f t="shared" si="2"/>
        <v/>
      </c>
      <c r="L48" s="149"/>
      <c r="M48" s="149"/>
      <c r="N48" s="149"/>
      <c r="O48" s="149"/>
      <c r="P48" s="149"/>
      <c r="Q48" s="149"/>
      <c r="R48" s="149"/>
      <c r="S48" s="149"/>
      <c r="T48" s="149"/>
      <c r="U48" s="149"/>
    </row>
    <row r="49" spans="7:21" x14ac:dyDescent="0.2">
      <c r="G49" s="108">
        <v>14.1</v>
      </c>
      <c r="H49" s="108"/>
      <c r="I49" s="120" t="str">
        <f t="shared" si="1"/>
        <v/>
      </c>
      <c r="J49" s="109" t="str">
        <f t="shared" si="2"/>
        <v/>
      </c>
      <c r="L49" s="149"/>
      <c r="M49" s="149"/>
      <c r="N49" s="149"/>
      <c r="O49" s="149"/>
      <c r="P49" s="149"/>
      <c r="Q49" s="149"/>
      <c r="R49" s="149"/>
      <c r="S49" s="149"/>
      <c r="T49" s="149"/>
      <c r="U49" s="149"/>
    </row>
    <row r="50" spans="7:21" x14ac:dyDescent="0.2">
      <c r="G50" s="112">
        <v>14.2</v>
      </c>
      <c r="H50" s="112"/>
      <c r="I50" s="121" t="str">
        <f t="shared" si="1"/>
        <v/>
      </c>
      <c r="J50" s="113" t="str">
        <f t="shared" si="2"/>
        <v/>
      </c>
      <c r="L50" s="149"/>
      <c r="M50" s="149"/>
      <c r="N50" s="149"/>
      <c r="O50" s="149"/>
      <c r="P50" s="149"/>
      <c r="Q50" s="149"/>
      <c r="R50" s="149"/>
      <c r="S50" s="149"/>
      <c r="T50" s="149"/>
      <c r="U50" s="149"/>
    </row>
    <row r="51" spans="7:21" x14ac:dyDescent="0.2">
      <c r="G51" s="108">
        <v>14.3</v>
      </c>
      <c r="H51" s="108"/>
      <c r="I51" s="120" t="str">
        <f t="shared" si="1"/>
        <v/>
      </c>
      <c r="J51" s="109" t="str">
        <f t="shared" si="2"/>
        <v/>
      </c>
      <c r="M51" s="149"/>
      <c r="N51" s="149"/>
      <c r="O51" s="149"/>
      <c r="P51" s="149"/>
      <c r="Q51" s="149"/>
      <c r="R51" s="149"/>
      <c r="S51" s="149"/>
      <c r="T51" s="149"/>
      <c r="U51" s="149"/>
    </row>
    <row r="52" spans="7:21" x14ac:dyDescent="0.2">
      <c r="G52" s="112">
        <v>14.4</v>
      </c>
      <c r="H52" s="112"/>
      <c r="I52" s="121" t="str">
        <f t="shared" si="1"/>
        <v/>
      </c>
      <c r="J52" s="113" t="str">
        <f t="shared" si="2"/>
        <v/>
      </c>
    </row>
    <row r="53" spans="7:21" x14ac:dyDescent="0.2">
      <c r="G53" s="108">
        <v>14.5</v>
      </c>
      <c r="H53" s="108"/>
      <c r="I53" s="120" t="str">
        <f t="shared" si="1"/>
        <v/>
      </c>
      <c r="J53" s="109" t="str">
        <f t="shared" si="2"/>
        <v/>
      </c>
    </row>
    <row r="54" spans="7:21" x14ac:dyDescent="0.2">
      <c r="G54" s="112">
        <v>14.6</v>
      </c>
      <c r="H54" s="112"/>
      <c r="I54" s="121" t="str">
        <f t="shared" si="1"/>
        <v/>
      </c>
      <c r="J54" s="113" t="str">
        <f t="shared" si="2"/>
        <v/>
      </c>
    </row>
    <row r="55" spans="7:21" x14ac:dyDescent="0.2">
      <c r="G55" s="108">
        <v>14.7</v>
      </c>
      <c r="H55" s="108"/>
      <c r="I55" s="120" t="str">
        <f t="shared" si="1"/>
        <v/>
      </c>
      <c r="J55" s="109" t="str">
        <f t="shared" si="2"/>
        <v/>
      </c>
    </row>
    <row r="56" spans="7:21" x14ac:dyDescent="0.2">
      <c r="G56" s="112">
        <v>14.8</v>
      </c>
      <c r="H56" s="112"/>
      <c r="I56" s="121" t="str">
        <f t="shared" si="1"/>
        <v/>
      </c>
      <c r="J56" s="113" t="str">
        <f t="shared" si="2"/>
        <v/>
      </c>
    </row>
    <row r="57" spans="7:21" x14ac:dyDescent="0.2">
      <c r="G57" s="108">
        <v>15.1</v>
      </c>
      <c r="H57" s="108"/>
      <c r="I57" s="120" t="str">
        <f t="shared" si="1"/>
        <v/>
      </c>
      <c r="J57" s="109" t="str">
        <f t="shared" si="2"/>
        <v/>
      </c>
    </row>
    <row r="58" spans="7:21" x14ac:dyDescent="0.2">
      <c r="G58" s="112">
        <v>17.100000000000001</v>
      </c>
      <c r="H58" s="112"/>
      <c r="I58" s="121" t="str">
        <f t="shared" si="1"/>
        <v/>
      </c>
      <c r="J58" s="113" t="str">
        <f t="shared" si="2"/>
        <v/>
      </c>
    </row>
    <row r="59" spans="7:21" x14ac:dyDescent="0.2">
      <c r="G59" s="108">
        <v>17.2</v>
      </c>
      <c r="H59" s="108"/>
      <c r="I59" s="120" t="str">
        <f t="shared" si="1"/>
        <v/>
      </c>
      <c r="J59" s="109" t="str">
        <f t="shared" si="2"/>
        <v/>
      </c>
    </row>
    <row r="60" spans="7:21" ht="13.5" thickBot="1" x14ac:dyDescent="0.25">
      <c r="G60" s="118">
        <v>17.3</v>
      </c>
      <c r="H60" s="118"/>
      <c r="I60" s="124" t="str">
        <f t="shared" si="1"/>
        <v/>
      </c>
      <c r="J60" s="119" t="str">
        <f t="shared" si="2"/>
        <v/>
      </c>
    </row>
  </sheetData>
  <sheetProtection sheet="1" objects="1" scenarios="1"/>
  <mergeCells count="4">
    <mergeCell ref="B1:J1"/>
    <mergeCell ref="N1:O1"/>
    <mergeCell ref="B3:E3"/>
    <mergeCell ref="G3:J3"/>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5D978-F68F-4E0C-A783-798EF212641D}">
  <sheetPr>
    <tabColor rgb="FFA391F1"/>
  </sheetPr>
  <dimension ref="B1:AC69"/>
  <sheetViews>
    <sheetView showGridLines="0" workbookViewId="0">
      <selection activeCell="B1" sqref="B1:X1"/>
    </sheetView>
  </sheetViews>
  <sheetFormatPr defaultColWidth="9.140625" defaultRowHeight="12.75" x14ac:dyDescent="0.2"/>
  <cols>
    <col min="1" max="1" width="9.140625" style="90"/>
    <col min="2" max="2" width="19" style="92" customWidth="1"/>
    <col min="3" max="3" width="21.140625" style="90" bestFit="1" customWidth="1"/>
    <col min="4" max="4" width="28.140625" style="90" bestFit="1" customWidth="1"/>
    <col min="5" max="5" width="26.5703125" style="90" customWidth="1"/>
    <col min="6" max="6" width="24.85546875" style="90" bestFit="1" customWidth="1"/>
    <col min="7" max="7" width="18.140625" style="90" customWidth="1"/>
    <col min="8" max="8" width="20.42578125" style="90" bestFit="1" customWidth="1"/>
    <col min="9" max="9" width="18.28515625" style="90" bestFit="1" customWidth="1"/>
    <col min="10" max="10" width="16.42578125" style="90" bestFit="1" customWidth="1"/>
    <col min="11" max="11" width="22" style="90" bestFit="1" customWidth="1"/>
    <col min="12" max="12" width="22" style="90" customWidth="1"/>
    <col min="13" max="13" width="9.140625" style="90"/>
    <col min="14" max="14" width="25" style="93" customWidth="1"/>
    <col min="15" max="15" width="23.140625" style="90" bestFit="1" customWidth="1"/>
    <col min="16" max="16" width="29.7109375" style="90" bestFit="1" customWidth="1"/>
    <col min="17" max="17" width="27.42578125" style="90" bestFit="1" customWidth="1"/>
    <col min="18" max="18" width="25.7109375" style="90" bestFit="1" customWidth="1"/>
    <col min="19" max="19" width="14" style="90" bestFit="1" customWidth="1"/>
    <col min="20" max="20" width="20.42578125" style="90" bestFit="1" customWidth="1"/>
    <col min="21" max="21" width="18.28515625" style="90" bestFit="1" customWidth="1"/>
    <col min="22" max="22" width="16.42578125" style="90" bestFit="1" customWidth="1"/>
    <col min="23" max="24" width="16.85546875" style="90" bestFit="1" customWidth="1"/>
    <col min="25" max="25" width="9.140625" style="90"/>
    <col min="26" max="26" width="123.42578125" style="90" customWidth="1"/>
    <col min="27" max="27" width="9.140625" style="90"/>
    <col min="28" max="28" width="19.7109375" style="90" bestFit="1" customWidth="1"/>
    <col min="29" max="29" width="88.7109375" style="90" customWidth="1"/>
    <col min="30" max="16384" width="9.140625" style="90"/>
  </cols>
  <sheetData>
    <row r="1" spans="2:29" ht="67.5" customHeight="1" thickBot="1" x14ac:dyDescent="0.25">
      <c r="B1" s="294" t="s">
        <v>302</v>
      </c>
      <c r="C1" s="295"/>
      <c r="D1" s="295"/>
      <c r="E1" s="295"/>
      <c r="F1" s="295"/>
      <c r="G1" s="295"/>
      <c r="H1" s="295"/>
      <c r="I1" s="295"/>
      <c r="J1" s="295"/>
      <c r="K1" s="295"/>
      <c r="L1" s="295"/>
      <c r="M1" s="295"/>
      <c r="N1" s="295"/>
      <c r="O1" s="295"/>
      <c r="P1" s="295"/>
      <c r="Q1" s="295"/>
      <c r="R1" s="295"/>
      <c r="S1" s="295"/>
      <c r="T1" s="295"/>
      <c r="U1" s="295"/>
      <c r="V1" s="295"/>
      <c r="W1" s="295"/>
      <c r="X1" s="296"/>
      <c r="Z1" s="91" t="s">
        <v>347</v>
      </c>
      <c r="AB1" s="284" t="s">
        <v>361</v>
      </c>
      <c r="AC1" s="285"/>
    </row>
    <row r="2" spans="2:29" ht="13.5" thickBot="1" x14ac:dyDescent="0.25">
      <c r="Z2" s="94"/>
      <c r="AB2" s="95" t="s">
        <v>292</v>
      </c>
      <c r="AC2" s="95" t="s">
        <v>4</v>
      </c>
    </row>
    <row r="3" spans="2:29" ht="27" thickTop="1" thickBot="1" x14ac:dyDescent="0.25">
      <c r="B3" s="125" t="s">
        <v>340</v>
      </c>
      <c r="C3" s="126" t="s">
        <v>310</v>
      </c>
      <c r="D3" s="126" t="s">
        <v>311</v>
      </c>
      <c r="E3" s="126" t="s">
        <v>312</v>
      </c>
      <c r="F3" s="127" t="s">
        <v>313</v>
      </c>
      <c r="G3" s="128" t="s">
        <v>340</v>
      </c>
      <c r="Z3" s="96" t="s">
        <v>348</v>
      </c>
      <c r="AB3" s="95">
        <v>1</v>
      </c>
      <c r="AC3" s="97" t="s">
        <v>165</v>
      </c>
    </row>
    <row r="4" spans="2:29" ht="28.5" x14ac:dyDescent="0.2">
      <c r="B4" s="129">
        <v>1</v>
      </c>
      <c r="C4" s="130" t="s">
        <v>333</v>
      </c>
      <c r="D4" s="130" t="s">
        <v>334</v>
      </c>
      <c r="E4" s="130" t="s">
        <v>337</v>
      </c>
      <c r="F4" s="131" t="s">
        <v>335</v>
      </c>
      <c r="G4" s="132">
        <v>1</v>
      </c>
      <c r="Z4" s="98" t="s">
        <v>375</v>
      </c>
      <c r="AB4" s="95">
        <v>2</v>
      </c>
      <c r="AC4" s="97" t="s">
        <v>166</v>
      </c>
    </row>
    <row r="5" spans="2:29" ht="14.25" x14ac:dyDescent="0.2">
      <c r="B5" s="133">
        <v>2</v>
      </c>
      <c r="C5" s="134" t="s">
        <v>329</v>
      </c>
      <c r="D5" s="134" t="s">
        <v>330</v>
      </c>
      <c r="E5" s="134" t="s">
        <v>331</v>
      </c>
      <c r="F5" s="135" t="s">
        <v>341</v>
      </c>
      <c r="G5" s="136">
        <v>2</v>
      </c>
      <c r="Z5" s="99" t="s">
        <v>367</v>
      </c>
      <c r="AB5" s="95">
        <v>3</v>
      </c>
      <c r="AC5" s="97" t="s">
        <v>167</v>
      </c>
    </row>
    <row r="6" spans="2:29" ht="14.25" x14ac:dyDescent="0.2">
      <c r="B6" s="133">
        <v>3</v>
      </c>
      <c r="C6" s="134" t="s">
        <v>320</v>
      </c>
      <c r="D6" s="134" t="s">
        <v>321</v>
      </c>
      <c r="E6" s="134" t="s">
        <v>322</v>
      </c>
      <c r="F6" s="135" t="s">
        <v>318</v>
      </c>
      <c r="G6" s="136">
        <v>3</v>
      </c>
      <c r="Z6" s="99" t="s">
        <v>376</v>
      </c>
      <c r="AB6" s="95">
        <v>4</v>
      </c>
      <c r="AC6" s="97" t="s">
        <v>294</v>
      </c>
    </row>
    <row r="7" spans="2:29" ht="57" x14ac:dyDescent="0.2">
      <c r="B7" s="133">
        <v>4</v>
      </c>
      <c r="C7" s="134" t="s">
        <v>338</v>
      </c>
      <c r="D7" s="134" t="s">
        <v>316</v>
      </c>
      <c r="E7" s="134" t="s">
        <v>327</v>
      </c>
      <c r="F7" s="135" t="s">
        <v>323</v>
      </c>
      <c r="G7" s="136">
        <v>4</v>
      </c>
      <c r="Z7" s="98" t="s">
        <v>392</v>
      </c>
      <c r="AB7" s="95">
        <v>5</v>
      </c>
      <c r="AC7" s="97" t="s">
        <v>295</v>
      </c>
    </row>
    <row r="8" spans="2:29" ht="14.25" x14ac:dyDescent="0.2">
      <c r="B8" s="133">
        <v>5</v>
      </c>
      <c r="C8" s="134" t="s">
        <v>315</v>
      </c>
      <c r="D8" s="134" t="s">
        <v>325</v>
      </c>
      <c r="E8" s="134" t="s">
        <v>317</v>
      </c>
      <c r="F8" s="135" t="s">
        <v>326</v>
      </c>
      <c r="G8" s="136">
        <v>5</v>
      </c>
      <c r="Z8" s="100" t="s">
        <v>377</v>
      </c>
    </row>
    <row r="9" spans="2:29" ht="43.5" x14ac:dyDescent="0.2">
      <c r="B9" s="133" t="s">
        <v>342</v>
      </c>
      <c r="C9" s="134" t="s">
        <v>339</v>
      </c>
      <c r="D9" s="134" t="s">
        <v>339</v>
      </c>
      <c r="E9" s="134" t="s">
        <v>339</v>
      </c>
      <c r="F9" s="135" t="s">
        <v>339</v>
      </c>
      <c r="G9" s="136" t="s">
        <v>342</v>
      </c>
      <c r="Z9" s="101" t="s">
        <v>384</v>
      </c>
    </row>
    <row r="10" spans="2:29" ht="15" thickBot="1" x14ac:dyDescent="0.25">
      <c r="B10" s="137" t="s">
        <v>343</v>
      </c>
      <c r="C10" s="138" t="s">
        <v>332</v>
      </c>
      <c r="D10" s="138" t="s">
        <v>332</v>
      </c>
      <c r="E10" s="138" t="s">
        <v>332</v>
      </c>
      <c r="F10" s="139" t="s">
        <v>332</v>
      </c>
      <c r="G10" s="140" t="s">
        <v>343</v>
      </c>
      <c r="Z10" s="99" t="s">
        <v>378</v>
      </c>
    </row>
    <row r="11" spans="2:29" ht="15.75" thickTop="1" x14ac:dyDescent="0.2">
      <c r="Z11" s="102" t="s">
        <v>379</v>
      </c>
    </row>
    <row r="12" spans="2:29" s="103" customFormat="1" ht="39" customHeight="1" thickBot="1" x14ac:dyDescent="0.3">
      <c r="B12" s="198" t="s">
        <v>303</v>
      </c>
      <c r="C12" s="289" t="s">
        <v>344</v>
      </c>
      <c r="D12" s="290"/>
      <c r="E12" s="290"/>
      <c r="F12" s="291"/>
      <c r="G12" s="292" t="s">
        <v>304</v>
      </c>
      <c r="H12" s="290"/>
      <c r="I12" s="290"/>
      <c r="J12" s="290"/>
      <c r="K12" s="286" t="s">
        <v>350</v>
      </c>
      <c r="L12" s="286" t="s">
        <v>351</v>
      </c>
      <c r="N12" s="198" t="s">
        <v>305</v>
      </c>
      <c r="O12" s="289" t="s">
        <v>344</v>
      </c>
      <c r="P12" s="290"/>
      <c r="Q12" s="290"/>
      <c r="R12" s="291"/>
      <c r="S12" s="292" t="s">
        <v>304</v>
      </c>
      <c r="T12" s="290"/>
      <c r="U12" s="290"/>
      <c r="V12" s="293"/>
      <c r="W12" s="288" t="s">
        <v>350</v>
      </c>
      <c r="X12" s="288" t="s">
        <v>351</v>
      </c>
      <c r="Z12" s="98" t="s">
        <v>380</v>
      </c>
    </row>
    <row r="13" spans="2:29" s="106" customFormat="1" ht="27" thickTop="1" thickBot="1" x14ac:dyDescent="0.3">
      <c r="B13" s="198" t="s">
        <v>306</v>
      </c>
      <c r="C13" s="104" t="s">
        <v>310</v>
      </c>
      <c r="D13" s="105" t="s">
        <v>311</v>
      </c>
      <c r="E13" s="105" t="s">
        <v>312</v>
      </c>
      <c r="F13" s="105" t="s">
        <v>313</v>
      </c>
      <c r="G13" s="105" t="s">
        <v>310</v>
      </c>
      <c r="H13" s="105" t="s">
        <v>311</v>
      </c>
      <c r="I13" s="105" t="s">
        <v>312</v>
      </c>
      <c r="J13" s="198" t="s">
        <v>313</v>
      </c>
      <c r="K13" s="287"/>
      <c r="L13" s="287"/>
      <c r="N13" s="198" t="s">
        <v>309</v>
      </c>
      <c r="O13" s="104" t="s">
        <v>310</v>
      </c>
      <c r="P13" s="105" t="s">
        <v>311</v>
      </c>
      <c r="Q13" s="105" t="s">
        <v>312</v>
      </c>
      <c r="R13" s="105" t="s">
        <v>313</v>
      </c>
      <c r="S13" s="105" t="s">
        <v>310</v>
      </c>
      <c r="T13" s="105" t="s">
        <v>311</v>
      </c>
      <c r="U13" s="105" t="s">
        <v>312</v>
      </c>
      <c r="V13" s="107" t="s">
        <v>313</v>
      </c>
      <c r="W13" s="289"/>
      <c r="X13" s="289"/>
      <c r="Z13" s="99" t="s">
        <v>381</v>
      </c>
    </row>
    <row r="14" spans="2:29" ht="29.25" thickTop="1" x14ac:dyDescent="0.2">
      <c r="B14" s="108">
        <v>1.4</v>
      </c>
      <c r="C14" s="108"/>
      <c r="D14" s="108"/>
      <c r="E14" s="108"/>
      <c r="F14" s="108"/>
      <c r="G14" s="120" t="e">
        <f>VLOOKUP(C14,$C$4:$G$10,5,FALSE)</f>
        <v>#N/A</v>
      </c>
      <c r="H14" s="120" t="e">
        <f>VLOOKUP(D14,$D$4:$G$10,4,FALSE)</f>
        <v>#N/A</v>
      </c>
      <c r="I14" s="120" t="e">
        <f>VLOOKUP(E14,$E$4:$G$10,3,FALSE)</f>
        <v>#N/A</v>
      </c>
      <c r="J14" s="120" t="e">
        <f>VLOOKUP(F14,$F$4:$G$10,2,FALSE)</f>
        <v>#N/A</v>
      </c>
      <c r="K14" s="120" t="e">
        <f>ROUND(AVERAGE(G14:J14),0)</f>
        <v>#N/A</v>
      </c>
      <c r="L14" s="109" t="e">
        <f>K14</f>
        <v>#N/A</v>
      </c>
      <c r="N14" s="110">
        <v>1.1000000000000001</v>
      </c>
      <c r="O14" s="110"/>
      <c r="P14" s="110"/>
      <c r="Q14" s="110"/>
      <c r="R14" s="110"/>
      <c r="S14" s="123" t="e">
        <f>VLOOKUP(O14,$C$4:$G$10,5,FALSE)</f>
        <v>#N/A</v>
      </c>
      <c r="T14" s="123" t="e">
        <f>VLOOKUP(P14,$D$4:$G$10,4,FALSE)</f>
        <v>#N/A</v>
      </c>
      <c r="U14" s="123" t="e">
        <f>VLOOKUP(Q14,$E$4:$G$10,3,FALSE)</f>
        <v>#N/A</v>
      </c>
      <c r="V14" s="123" t="e">
        <f>VLOOKUP(R14,$F$4:$G$10,2,FALSE)</f>
        <v>#N/A</v>
      </c>
      <c r="W14" s="123" t="e">
        <f>ROUND(AVERAGE(S14:V14),0)</f>
        <v>#N/A</v>
      </c>
      <c r="X14" s="111" t="e">
        <f>W14</f>
        <v>#N/A</v>
      </c>
      <c r="Z14" s="98" t="s">
        <v>349</v>
      </c>
    </row>
    <row r="15" spans="2:29" ht="14.25" x14ac:dyDescent="0.2">
      <c r="B15" s="112">
        <v>1.6</v>
      </c>
      <c r="C15" s="112"/>
      <c r="D15" s="112"/>
      <c r="E15" s="112"/>
      <c r="F15" s="112"/>
      <c r="G15" s="121" t="e">
        <f t="shared" ref="G15:G56" si="0">VLOOKUP(C15,$C$4:$G$10,5,FALSE)</f>
        <v>#N/A</v>
      </c>
      <c r="H15" s="121" t="e">
        <f t="shared" ref="H15:H56" si="1">VLOOKUP(D15,$D$4:$G$10,4,FALSE)</f>
        <v>#N/A</v>
      </c>
      <c r="I15" s="121" t="e">
        <f t="shared" ref="I15:I56" si="2">VLOOKUP(E15,$E$4:$G$10,3,FALSE)</f>
        <v>#N/A</v>
      </c>
      <c r="J15" s="121" t="e">
        <f t="shared" ref="J15:J56" si="3">VLOOKUP(F15,$F$4:$G$10,2,FALSE)</f>
        <v>#N/A</v>
      </c>
      <c r="K15" s="121" t="e">
        <f t="shared" ref="K15:K56" si="4">ROUND(AVERAGE(G15:J15),0)</f>
        <v>#N/A</v>
      </c>
      <c r="L15" s="113" t="e">
        <f t="shared" ref="L15:L56" si="5">K15</f>
        <v>#N/A</v>
      </c>
      <c r="N15" s="112">
        <v>1.2</v>
      </c>
      <c r="O15" s="112"/>
      <c r="P15" s="112"/>
      <c r="Q15" s="112"/>
      <c r="R15" s="112"/>
      <c r="S15" s="121" t="e">
        <f t="shared" ref="S15:S69" si="6">VLOOKUP(O15,$C$4:$G$10,5,FALSE)</f>
        <v>#N/A</v>
      </c>
      <c r="T15" s="121" t="e">
        <f t="shared" ref="T15:T69" si="7">VLOOKUP(P15,$D$4:$G$10,4,FALSE)</f>
        <v>#N/A</v>
      </c>
      <c r="U15" s="121" t="e">
        <f t="shared" ref="U15:U69" si="8">VLOOKUP(Q15,$E$4:$G$10,3,FALSE)</f>
        <v>#N/A</v>
      </c>
      <c r="V15" s="121" t="e">
        <f t="shared" ref="V15:V69" si="9">VLOOKUP(R15,$F$4:$G$10,2,FALSE)</f>
        <v>#N/A</v>
      </c>
      <c r="W15" s="121" t="e">
        <f t="shared" ref="W15:W69" si="10">ROUND(AVERAGE(S15:V15),0)</f>
        <v>#N/A</v>
      </c>
      <c r="X15" s="113" t="e">
        <f t="shared" ref="X15:X69" si="11">W15</f>
        <v>#N/A</v>
      </c>
      <c r="Z15" s="99" t="s">
        <v>382</v>
      </c>
    </row>
    <row r="16" spans="2:29" ht="42.75" x14ac:dyDescent="0.2">
      <c r="B16" s="108">
        <v>2.1</v>
      </c>
      <c r="C16" s="108"/>
      <c r="D16" s="108"/>
      <c r="E16" s="108"/>
      <c r="F16" s="108"/>
      <c r="G16" s="120" t="e">
        <f t="shared" si="0"/>
        <v>#N/A</v>
      </c>
      <c r="H16" s="120" t="e">
        <f t="shared" si="1"/>
        <v>#N/A</v>
      </c>
      <c r="I16" s="120" t="e">
        <f t="shared" si="2"/>
        <v>#N/A</v>
      </c>
      <c r="J16" s="120" t="e">
        <f t="shared" si="3"/>
        <v>#N/A</v>
      </c>
      <c r="K16" s="120" t="e">
        <f>ROUND(AVERAGE(G16:J16),0)</f>
        <v>#N/A</v>
      </c>
      <c r="L16" s="109" t="e">
        <f>K16</f>
        <v>#N/A</v>
      </c>
      <c r="N16" s="108">
        <v>2.1</v>
      </c>
      <c r="O16" s="108"/>
      <c r="P16" s="108"/>
      <c r="Q16" s="108"/>
      <c r="R16" s="108"/>
      <c r="S16" s="120" t="e">
        <f t="shared" si="6"/>
        <v>#N/A</v>
      </c>
      <c r="T16" s="120" t="e">
        <f t="shared" si="7"/>
        <v>#N/A</v>
      </c>
      <c r="U16" s="120" t="e">
        <f t="shared" si="8"/>
        <v>#N/A</v>
      </c>
      <c r="V16" s="120" t="e">
        <f t="shared" si="9"/>
        <v>#N/A</v>
      </c>
      <c r="W16" s="120" t="e">
        <f t="shared" si="10"/>
        <v>#N/A</v>
      </c>
      <c r="X16" s="109" t="e">
        <f t="shared" si="11"/>
        <v>#N/A</v>
      </c>
      <c r="Z16" s="98" t="s">
        <v>428</v>
      </c>
    </row>
    <row r="17" spans="2:26" ht="14.25" x14ac:dyDescent="0.2">
      <c r="B17" s="112">
        <v>2.2000000000000002</v>
      </c>
      <c r="C17" s="112"/>
      <c r="D17" s="112"/>
      <c r="E17" s="112"/>
      <c r="F17" s="112"/>
      <c r="G17" s="121" t="e">
        <f t="shared" si="0"/>
        <v>#N/A</v>
      </c>
      <c r="H17" s="121" t="e">
        <f t="shared" si="1"/>
        <v>#N/A</v>
      </c>
      <c r="I17" s="121" t="e">
        <f t="shared" si="2"/>
        <v>#N/A</v>
      </c>
      <c r="J17" s="121" t="e">
        <f t="shared" si="3"/>
        <v>#N/A</v>
      </c>
      <c r="K17" s="121" t="e">
        <f t="shared" si="4"/>
        <v>#N/A</v>
      </c>
      <c r="L17" s="113" t="e">
        <f t="shared" si="5"/>
        <v>#N/A</v>
      </c>
      <c r="N17" s="112">
        <v>2.2000000000000002</v>
      </c>
      <c r="O17" s="112"/>
      <c r="P17" s="112"/>
      <c r="Q17" s="112"/>
      <c r="R17" s="112"/>
      <c r="S17" s="121" t="e">
        <f t="shared" si="6"/>
        <v>#N/A</v>
      </c>
      <c r="T17" s="121" t="e">
        <f t="shared" si="7"/>
        <v>#N/A</v>
      </c>
      <c r="U17" s="121" t="e">
        <f t="shared" si="8"/>
        <v>#N/A</v>
      </c>
      <c r="V17" s="121" t="e">
        <f t="shared" si="9"/>
        <v>#N/A</v>
      </c>
      <c r="W17" s="121" t="e">
        <f t="shared" si="10"/>
        <v>#N/A</v>
      </c>
      <c r="X17" s="113" t="e">
        <f t="shared" si="11"/>
        <v>#N/A</v>
      </c>
      <c r="Z17" s="96" t="s">
        <v>352</v>
      </c>
    </row>
    <row r="18" spans="2:26" ht="42.75" x14ac:dyDescent="0.2">
      <c r="B18" s="108">
        <v>2.6</v>
      </c>
      <c r="C18" s="108"/>
      <c r="D18" s="108"/>
      <c r="E18" s="108"/>
      <c r="F18" s="108"/>
      <c r="G18" s="120" t="e">
        <f t="shared" si="0"/>
        <v>#N/A</v>
      </c>
      <c r="H18" s="120" t="e">
        <f t="shared" si="1"/>
        <v>#N/A</v>
      </c>
      <c r="I18" s="120" t="e">
        <f t="shared" si="2"/>
        <v>#N/A</v>
      </c>
      <c r="J18" s="120" t="e">
        <f t="shared" si="3"/>
        <v>#N/A</v>
      </c>
      <c r="K18" s="120" t="e">
        <f t="shared" si="4"/>
        <v>#N/A</v>
      </c>
      <c r="L18" s="109" t="e">
        <f t="shared" si="5"/>
        <v>#N/A</v>
      </c>
      <c r="N18" s="108">
        <v>2.2999999999999998</v>
      </c>
      <c r="O18" s="108"/>
      <c r="P18" s="108"/>
      <c r="Q18" s="108"/>
      <c r="R18" s="108"/>
      <c r="S18" s="120" t="e">
        <f t="shared" si="6"/>
        <v>#N/A</v>
      </c>
      <c r="T18" s="120" t="e">
        <f t="shared" si="7"/>
        <v>#N/A</v>
      </c>
      <c r="U18" s="120" t="e">
        <f t="shared" si="8"/>
        <v>#N/A</v>
      </c>
      <c r="V18" s="120" t="e">
        <f t="shared" si="9"/>
        <v>#N/A</v>
      </c>
      <c r="W18" s="120" t="e">
        <f t="shared" si="10"/>
        <v>#N/A</v>
      </c>
      <c r="X18" s="109" t="e">
        <f t="shared" si="11"/>
        <v>#N/A</v>
      </c>
      <c r="Z18" s="102" t="s">
        <v>354</v>
      </c>
    </row>
    <row r="19" spans="2:26" ht="14.25" x14ac:dyDescent="0.2">
      <c r="B19" s="112">
        <v>3.4</v>
      </c>
      <c r="C19" s="112"/>
      <c r="D19" s="112"/>
      <c r="E19" s="112"/>
      <c r="F19" s="112"/>
      <c r="G19" s="121" t="e">
        <f t="shared" si="0"/>
        <v>#N/A</v>
      </c>
      <c r="H19" s="121" t="e">
        <f t="shared" si="1"/>
        <v>#N/A</v>
      </c>
      <c r="I19" s="121" t="e">
        <f t="shared" si="2"/>
        <v>#N/A</v>
      </c>
      <c r="J19" s="121" t="e">
        <f t="shared" si="3"/>
        <v>#N/A</v>
      </c>
      <c r="K19" s="121" t="e">
        <f t="shared" si="4"/>
        <v>#N/A</v>
      </c>
      <c r="L19" s="113" t="e">
        <f t="shared" si="5"/>
        <v>#N/A</v>
      </c>
      <c r="N19" s="112">
        <v>3.1</v>
      </c>
      <c r="O19" s="112"/>
      <c r="P19" s="112"/>
      <c r="Q19" s="112"/>
      <c r="R19" s="112"/>
      <c r="S19" s="121" t="e">
        <f t="shared" si="6"/>
        <v>#N/A</v>
      </c>
      <c r="T19" s="121" t="e">
        <f t="shared" si="7"/>
        <v>#N/A</v>
      </c>
      <c r="U19" s="121" t="e">
        <f t="shared" si="8"/>
        <v>#N/A</v>
      </c>
      <c r="V19" s="121" t="e">
        <f t="shared" si="9"/>
        <v>#N/A</v>
      </c>
      <c r="W19" s="121" t="e">
        <f t="shared" si="10"/>
        <v>#N/A</v>
      </c>
      <c r="X19" s="113" t="e">
        <f t="shared" si="11"/>
        <v>#N/A</v>
      </c>
      <c r="Z19" s="99" t="s">
        <v>383</v>
      </c>
    </row>
    <row r="20" spans="2:26" ht="44.25" thickBot="1" x14ac:dyDescent="0.25">
      <c r="B20" s="108">
        <v>3.5</v>
      </c>
      <c r="C20" s="108"/>
      <c r="D20" s="108"/>
      <c r="E20" s="108"/>
      <c r="F20" s="108"/>
      <c r="G20" s="120" t="e">
        <f t="shared" si="0"/>
        <v>#N/A</v>
      </c>
      <c r="H20" s="120" t="e">
        <f t="shared" si="1"/>
        <v>#N/A</v>
      </c>
      <c r="I20" s="120" t="e">
        <f t="shared" si="2"/>
        <v>#N/A</v>
      </c>
      <c r="J20" s="120" t="e">
        <f t="shared" si="3"/>
        <v>#N/A</v>
      </c>
      <c r="K20" s="120" t="e">
        <f t="shared" si="4"/>
        <v>#N/A</v>
      </c>
      <c r="L20" s="109" t="e">
        <f t="shared" si="5"/>
        <v>#N/A</v>
      </c>
      <c r="N20" s="108">
        <v>3.2</v>
      </c>
      <c r="O20" s="108"/>
      <c r="P20" s="108"/>
      <c r="Q20" s="108"/>
      <c r="R20" s="108"/>
      <c r="S20" s="120" t="e">
        <f t="shared" si="6"/>
        <v>#N/A</v>
      </c>
      <c r="T20" s="120" t="e">
        <f t="shared" si="7"/>
        <v>#N/A</v>
      </c>
      <c r="U20" s="120" t="e">
        <f t="shared" si="8"/>
        <v>#N/A</v>
      </c>
      <c r="V20" s="120" t="e">
        <f t="shared" si="9"/>
        <v>#N/A</v>
      </c>
      <c r="W20" s="120" t="e">
        <f t="shared" si="10"/>
        <v>#N/A</v>
      </c>
      <c r="X20" s="109" t="e">
        <f t="shared" si="11"/>
        <v>#N/A</v>
      </c>
      <c r="Z20" s="114" t="s">
        <v>363</v>
      </c>
    </row>
    <row r="21" spans="2:26" x14ac:dyDescent="0.2">
      <c r="B21" s="112">
        <v>4.2</v>
      </c>
      <c r="C21" s="112"/>
      <c r="D21" s="112"/>
      <c r="E21" s="112"/>
      <c r="F21" s="112"/>
      <c r="G21" s="121" t="e">
        <f t="shared" si="0"/>
        <v>#N/A</v>
      </c>
      <c r="H21" s="121" t="e">
        <f t="shared" si="1"/>
        <v>#N/A</v>
      </c>
      <c r="I21" s="121" t="e">
        <f t="shared" si="2"/>
        <v>#N/A</v>
      </c>
      <c r="J21" s="121" t="e">
        <f t="shared" si="3"/>
        <v>#N/A</v>
      </c>
      <c r="K21" s="121" t="e">
        <f t="shared" si="4"/>
        <v>#N/A</v>
      </c>
      <c r="L21" s="113" t="e">
        <f t="shared" si="5"/>
        <v>#N/A</v>
      </c>
      <c r="N21" s="112">
        <v>3.3</v>
      </c>
      <c r="O21" s="112"/>
      <c r="P21" s="112"/>
      <c r="Q21" s="112"/>
      <c r="R21" s="112"/>
      <c r="S21" s="121" t="e">
        <f t="shared" si="6"/>
        <v>#N/A</v>
      </c>
      <c r="T21" s="121" t="e">
        <f t="shared" si="7"/>
        <v>#N/A</v>
      </c>
      <c r="U21" s="121" t="e">
        <f t="shared" si="8"/>
        <v>#N/A</v>
      </c>
      <c r="V21" s="121" t="e">
        <f t="shared" si="9"/>
        <v>#N/A</v>
      </c>
      <c r="W21" s="121" t="e">
        <f t="shared" si="10"/>
        <v>#N/A</v>
      </c>
      <c r="X21" s="113" t="e">
        <f t="shared" si="11"/>
        <v>#N/A</v>
      </c>
    </row>
    <row r="22" spans="2:26" x14ac:dyDescent="0.2">
      <c r="B22" s="108">
        <v>4.3</v>
      </c>
      <c r="C22" s="108"/>
      <c r="D22" s="108"/>
      <c r="E22" s="108"/>
      <c r="F22" s="108"/>
      <c r="G22" s="120" t="e">
        <f t="shared" si="0"/>
        <v>#N/A</v>
      </c>
      <c r="H22" s="120" t="e">
        <f t="shared" si="1"/>
        <v>#N/A</v>
      </c>
      <c r="I22" s="120" t="e">
        <f t="shared" si="2"/>
        <v>#N/A</v>
      </c>
      <c r="J22" s="120" t="e">
        <f t="shared" si="3"/>
        <v>#N/A</v>
      </c>
      <c r="K22" s="120" t="e">
        <f t="shared" si="4"/>
        <v>#N/A</v>
      </c>
      <c r="L22" s="109" t="e">
        <f t="shared" si="5"/>
        <v>#N/A</v>
      </c>
      <c r="N22" s="108">
        <v>3.4</v>
      </c>
      <c r="O22" s="108"/>
      <c r="P22" s="108"/>
      <c r="Q22" s="108"/>
      <c r="R22" s="108"/>
      <c r="S22" s="120" t="e">
        <f t="shared" si="6"/>
        <v>#N/A</v>
      </c>
      <c r="T22" s="120" t="e">
        <f t="shared" si="7"/>
        <v>#N/A</v>
      </c>
      <c r="U22" s="120" t="e">
        <f t="shared" si="8"/>
        <v>#N/A</v>
      </c>
      <c r="V22" s="120" t="e">
        <f t="shared" si="9"/>
        <v>#N/A</v>
      </c>
      <c r="W22" s="120" t="e">
        <f t="shared" si="10"/>
        <v>#N/A</v>
      </c>
      <c r="X22" s="109" t="e">
        <f t="shared" si="11"/>
        <v>#N/A</v>
      </c>
    </row>
    <row r="23" spans="2:26" x14ac:dyDescent="0.2">
      <c r="B23" s="112">
        <v>5.0999999999999996</v>
      </c>
      <c r="C23" s="112"/>
      <c r="D23" s="112"/>
      <c r="E23" s="112"/>
      <c r="F23" s="112"/>
      <c r="G23" s="121" t="e">
        <f t="shared" si="0"/>
        <v>#N/A</v>
      </c>
      <c r="H23" s="121" t="e">
        <f t="shared" si="1"/>
        <v>#N/A</v>
      </c>
      <c r="I23" s="121" t="e">
        <f t="shared" si="2"/>
        <v>#N/A</v>
      </c>
      <c r="J23" s="121" t="e">
        <f t="shared" si="3"/>
        <v>#N/A</v>
      </c>
      <c r="K23" s="121" t="e">
        <f t="shared" si="4"/>
        <v>#N/A</v>
      </c>
      <c r="L23" s="113" t="e">
        <f t="shared" si="5"/>
        <v>#N/A</v>
      </c>
      <c r="N23" s="112">
        <v>3.5</v>
      </c>
      <c r="O23" s="112"/>
      <c r="P23" s="112"/>
      <c r="Q23" s="112"/>
      <c r="R23" s="112"/>
      <c r="S23" s="121" t="e">
        <f t="shared" si="6"/>
        <v>#N/A</v>
      </c>
      <c r="T23" s="121" t="e">
        <f t="shared" si="7"/>
        <v>#N/A</v>
      </c>
      <c r="U23" s="121" t="e">
        <f t="shared" si="8"/>
        <v>#N/A</v>
      </c>
      <c r="V23" s="121" t="e">
        <f t="shared" si="9"/>
        <v>#N/A</v>
      </c>
      <c r="W23" s="121" t="e">
        <f t="shared" si="10"/>
        <v>#N/A</v>
      </c>
      <c r="X23" s="113" t="e">
        <f t="shared" si="11"/>
        <v>#N/A</v>
      </c>
    </row>
    <row r="24" spans="2:26" x14ac:dyDescent="0.2">
      <c r="B24" s="108">
        <v>6.2</v>
      </c>
      <c r="C24" s="108"/>
      <c r="D24" s="108"/>
      <c r="E24" s="108"/>
      <c r="F24" s="108"/>
      <c r="G24" s="120" t="e">
        <f t="shared" si="0"/>
        <v>#N/A</v>
      </c>
      <c r="H24" s="120" t="e">
        <f t="shared" si="1"/>
        <v>#N/A</v>
      </c>
      <c r="I24" s="120" t="e">
        <f t="shared" si="2"/>
        <v>#N/A</v>
      </c>
      <c r="J24" s="120" t="e">
        <f t="shared" si="3"/>
        <v>#N/A</v>
      </c>
      <c r="K24" s="120" t="e">
        <f t="shared" si="4"/>
        <v>#N/A</v>
      </c>
      <c r="L24" s="109" t="e">
        <f t="shared" si="5"/>
        <v>#N/A</v>
      </c>
      <c r="N24" s="108">
        <v>3.6</v>
      </c>
      <c r="O24" s="108"/>
      <c r="P24" s="108"/>
      <c r="Q24" s="108"/>
      <c r="R24" s="108"/>
      <c r="S24" s="120" t="e">
        <f t="shared" si="6"/>
        <v>#N/A</v>
      </c>
      <c r="T24" s="120" t="e">
        <f t="shared" si="7"/>
        <v>#N/A</v>
      </c>
      <c r="U24" s="120" t="e">
        <f t="shared" si="8"/>
        <v>#N/A</v>
      </c>
      <c r="V24" s="120" t="e">
        <f t="shared" si="9"/>
        <v>#N/A</v>
      </c>
      <c r="W24" s="120" t="e">
        <f t="shared" si="10"/>
        <v>#N/A</v>
      </c>
      <c r="X24" s="109" t="e">
        <f t="shared" si="11"/>
        <v>#N/A</v>
      </c>
    </row>
    <row r="25" spans="2:26" x14ac:dyDescent="0.2">
      <c r="B25" s="112">
        <v>7.1</v>
      </c>
      <c r="C25" s="112"/>
      <c r="D25" s="112"/>
      <c r="E25" s="112"/>
      <c r="F25" s="112"/>
      <c r="G25" s="121" t="e">
        <f t="shared" si="0"/>
        <v>#N/A</v>
      </c>
      <c r="H25" s="121" t="e">
        <f t="shared" si="1"/>
        <v>#N/A</v>
      </c>
      <c r="I25" s="121" t="e">
        <f t="shared" si="2"/>
        <v>#N/A</v>
      </c>
      <c r="J25" s="121" t="e">
        <f t="shared" si="3"/>
        <v>#N/A</v>
      </c>
      <c r="K25" s="121" t="e">
        <f t="shared" si="4"/>
        <v>#N/A</v>
      </c>
      <c r="L25" s="113" t="e">
        <f t="shared" si="5"/>
        <v>#N/A</v>
      </c>
      <c r="N25" s="112">
        <v>4.0999999999999996</v>
      </c>
      <c r="O25" s="112"/>
      <c r="P25" s="112"/>
      <c r="Q25" s="112"/>
      <c r="R25" s="112"/>
      <c r="S25" s="121" t="e">
        <f t="shared" si="6"/>
        <v>#N/A</v>
      </c>
      <c r="T25" s="121" t="e">
        <f t="shared" si="7"/>
        <v>#N/A</v>
      </c>
      <c r="U25" s="121" t="e">
        <f t="shared" si="8"/>
        <v>#N/A</v>
      </c>
      <c r="V25" s="121" t="e">
        <f t="shared" si="9"/>
        <v>#N/A</v>
      </c>
      <c r="W25" s="121" t="e">
        <f t="shared" si="10"/>
        <v>#N/A</v>
      </c>
      <c r="X25" s="113" t="e">
        <f t="shared" si="11"/>
        <v>#N/A</v>
      </c>
    </row>
    <row r="26" spans="2:26" x14ac:dyDescent="0.2">
      <c r="B26" s="108">
        <v>7.7</v>
      </c>
      <c r="C26" s="108"/>
      <c r="D26" s="108"/>
      <c r="E26" s="108"/>
      <c r="F26" s="108"/>
      <c r="G26" s="120" t="e">
        <f t="shared" si="0"/>
        <v>#N/A</v>
      </c>
      <c r="H26" s="120" t="e">
        <f t="shared" si="1"/>
        <v>#N/A</v>
      </c>
      <c r="I26" s="120" t="e">
        <f t="shared" si="2"/>
        <v>#N/A</v>
      </c>
      <c r="J26" s="120" t="e">
        <f t="shared" si="3"/>
        <v>#N/A</v>
      </c>
      <c r="K26" s="120" t="e">
        <f t="shared" si="4"/>
        <v>#N/A</v>
      </c>
      <c r="L26" s="109" t="e">
        <f t="shared" si="5"/>
        <v>#N/A</v>
      </c>
      <c r="N26" s="108">
        <v>4.2</v>
      </c>
      <c r="O26" s="108"/>
      <c r="P26" s="108"/>
      <c r="Q26" s="108"/>
      <c r="R26" s="108"/>
      <c r="S26" s="120" t="e">
        <f t="shared" si="6"/>
        <v>#N/A</v>
      </c>
      <c r="T26" s="120" t="e">
        <f t="shared" si="7"/>
        <v>#N/A</v>
      </c>
      <c r="U26" s="120" t="e">
        <f t="shared" si="8"/>
        <v>#N/A</v>
      </c>
      <c r="V26" s="120" t="e">
        <f t="shared" si="9"/>
        <v>#N/A</v>
      </c>
      <c r="W26" s="120" t="e">
        <f t="shared" si="10"/>
        <v>#N/A</v>
      </c>
      <c r="X26" s="109" t="e">
        <f t="shared" si="11"/>
        <v>#N/A</v>
      </c>
    </row>
    <row r="27" spans="2:26" x14ac:dyDescent="0.2">
      <c r="B27" s="112">
        <v>8.1999999999999993</v>
      </c>
      <c r="C27" s="112"/>
      <c r="D27" s="112"/>
      <c r="E27" s="112"/>
      <c r="F27" s="112"/>
      <c r="G27" s="121" t="e">
        <f t="shared" si="0"/>
        <v>#N/A</v>
      </c>
      <c r="H27" s="121" t="e">
        <f t="shared" si="1"/>
        <v>#N/A</v>
      </c>
      <c r="I27" s="121" t="e">
        <f t="shared" si="2"/>
        <v>#N/A</v>
      </c>
      <c r="J27" s="121" t="e">
        <f t="shared" si="3"/>
        <v>#N/A</v>
      </c>
      <c r="K27" s="121" t="e">
        <f t="shared" si="4"/>
        <v>#N/A</v>
      </c>
      <c r="L27" s="113" t="e">
        <f t="shared" si="5"/>
        <v>#N/A</v>
      </c>
      <c r="N27" s="112">
        <v>4.3</v>
      </c>
      <c r="O27" s="112"/>
      <c r="P27" s="112"/>
      <c r="Q27" s="112"/>
      <c r="R27" s="112"/>
      <c r="S27" s="121" t="e">
        <f t="shared" si="6"/>
        <v>#N/A</v>
      </c>
      <c r="T27" s="121" t="e">
        <f t="shared" si="7"/>
        <v>#N/A</v>
      </c>
      <c r="U27" s="121" t="e">
        <f t="shared" si="8"/>
        <v>#N/A</v>
      </c>
      <c r="V27" s="121" t="e">
        <f t="shared" si="9"/>
        <v>#N/A</v>
      </c>
      <c r="W27" s="121" t="e">
        <f t="shared" si="10"/>
        <v>#N/A</v>
      </c>
      <c r="X27" s="113" t="e">
        <f t="shared" si="11"/>
        <v>#N/A</v>
      </c>
    </row>
    <row r="28" spans="2:26" x14ac:dyDescent="0.2">
      <c r="B28" s="108">
        <v>8.4</v>
      </c>
      <c r="C28" s="108"/>
      <c r="D28" s="108"/>
      <c r="E28" s="108"/>
      <c r="F28" s="108"/>
      <c r="G28" s="120" t="e">
        <f t="shared" si="0"/>
        <v>#N/A</v>
      </c>
      <c r="H28" s="120" t="e">
        <f t="shared" si="1"/>
        <v>#N/A</v>
      </c>
      <c r="I28" s="120" t="e">
        <f t="shared" si="2"/>
        <v>#N/A</v>
      </c>
      <c r="J28" s="120" t="e">
        <f t="shared" si="3"/>
        <v>#N/A</v>
      </c>
      <c r="K28" s="120" t="e">
        <f t="shared" si="4"/>
        <v>#N/A</v>
      </c>
      <c r="L28" s="109" t="e">
        <f t="shared" si="5"/>
        <v>#N/A</v>
      </c>
      <c r="N28" s="108">
        <v>4.4000000000000004</v>
      </c>
      <c r="O28" s="108"/>
      <c r="P28" s="108"/>
      <c r="Q28" s="108"/>
      <c r="R28" s="108"/>
      <c r="S28" s="120" t="e">
        <f t="shared" si="6"/>
        <v>#N/A</v>
      </c>
      <c r="T28" s="120" t="e">
        <f t="shared" si="7"/>
        <v>#N/A</v>
      </c>
      <c r="U28" s="120" t="e">
        <f t="shared" si="8"/>
        <v>#N/A</v>
      </c>
      <c r="V28" s="120" t="e">
        <f t="shared" si="9"/>
        <v>#N/A</v>
      </c>
      <c r="W28" s="120" t="e">
        <f t="shared" si="10"/>
        <v>#N/A</v>
      </c>
      <c r="X28" s="109" t="e">
        <f t="shared" si="11"/>
        <v>#N/A</v>
      </c>
    </row>
    <row r="29" spans="2:26" x14ac:dyDescent="0.2">
      <c r="B29" s="112">
        <v>8.5</v>
      </c>
      <c r="C29" s="112"/>
      <c r="D29" s="112"/>
      <c r="E29" s="112"/>
      <c r="F29" s="112"/>
      <c r="G29" s="121" t="e">
        <f t="shared" si="0"/>
        <v>#N/A</v>
      </c>
      <c r="H29" s="121" t="e">
        <f t="shared" si="1"/>
        <v>#N/A</v>
      </c>
      <c r="I29" s="121" t="e">
        <f t="shared" si="2"/>
        <v>#N/A</v>
      </c>
      <c r="J29" s="121" t="e">
        <f t="shared" si="3"/>
        <v>#N/A</v>
      </c>
      <c r="K29" s="121" t="e">
        <f t="shared" si="4"/>
        <v>#N/A</v>
      </c>
      <c r="L29" s="113" t="e">
        <f t="shared" si="5"/>
        <v>#N/A</v>
      </c>
      <c r="N29" s="112">
        <v>4.5</v>
      </c>
      <c r="O29" s="112"/>
      <c r="P29" s="112"/>
      <c r="Q29" s="112"/>
      <c r="R29" s="112"/>
      <c r="S29" s="121" t="e">
        <f t="shared" si="6"/>
        <v>#N/A</v>
      </c>
      <c r="T29" s="121" t="e">
        <f t="shared" si="7"/>
        <v>#N/A</v>
      </c>
      <c r="U29" s="121" t="e">
        <f t="shared" si="8"/>
        <v>#N/A</v>
      </c>
      <c r="V29" s="121" t="e">
        <f t="shared" si="9"/>
        <v>#N/A</v>
      </c>
      <c r="W29" s="121" t="e">
        <f t="shared" si="10"/>
        <v>#N/A</v>
      </c>
      <c r="X29" s="113" t="e">
        <f t="shared" si="11"/>
        <v>#N/A</v>
      </c>
    </row>
    <row r="30" spans="2:26" x14ac:dyDescent="0.2">
      <c r="B30" s="108">
        <v>9.4</v>
      </c>
      <c r="C30" s="108"/>
      <c r="D30" s="108"/>
      <c r="E30" s="108"/>
      <c r="F30" s="108"/>
      <c r="G30" s="120" t="e">
        <f t="shared" si="0"/>
        <v>#N/A</v>
      </c>
      <c r="H30" s="120" t="e">
        <f t="shared" si="1"/>
        <v>#N/A</v>
      </c>
      <c r="I30" s="120" t="e">
        <f t="shared" si="2"/>
        <v>#N/A</v>
      </c>
      <c r="J30" s="120" t="e">
        <f t="shared" si="3"/>
        <v>#N/A</v>
      </c>
      <c r="K30" s="120" t="e">
        <f t="shared" si="4"/>
        <v>#N/A</v>
      </c>
      <c r="L30" s="109" t="e">
        <f t="shared" si="5"/>
        <v>#N/A</v>
      </c>
      <c r="N30" s="108">
        <v>4.5999999999999996</v>
      </c>
      <c r="O30" s="108"/>
      <c r="P30" s="108"/>
      <c r="Q30" s="108"/>
      <c r="R30" s="108"/>
      <c r="S30" s="120" t="e">
        <f t="shared" si="6"/>
        <v>#N/A</v>
      </c>
      <c r="T30" s="120" t="e">
        <f t="shared" si="7"/>
        <v>#N/A</v>
      </c>
      <c r="U30" s="120" t="e">
        <f t="shared" si="8"/>
        <v>#N/A</v>
      </c>
      <c r="V30" s="120" t="e">
        <f t="shared" si="9"/>
        <v>#N/A</v>
      </c>
      <c r="W30" s="120" t="e">
        <f t="shared" si="10"/>
        <v>#N/A</v>
      </c>
      <c r="X30" s="109" t="e">
        <f t="shared" si="11"/>
        <v>#N/A</v>
      </c>
    </row>
    <row r="31" spans="2:26" x14ac:dyDescent="0.2">
      <c r="B31" s="112">
        <v>10.1</v>
      </c>
      <c r="C31" s="112"/>
      <c r="D31" s="112"/>
      <c r="E31" s="112"/>
      <c r="F31" s="112"/>
      <c r="G31" s="121" t="e">
        <f t="shared" si="0"/>
        <v>#N/A</v>
      </c>
      <c r="H31" s="121" t="e">
        <f t="shared" si="1"/>
        <v>#N/A</v>
      </c>
      <c r="I31" s="121" t="e">
        <f t="shared" si="2"/>
        <v>#N/A</v>
      </c>
      <c r="J31" s="121" t="e">
        <f t="shared" si="3"/>
        <v>#N/A</v>
      </c>
      <c r="K31" s="121" t="e">
        <f t="shared" si="4"/>
        <v>#N/A</v>
      </c>
      <c r="L31" s="113" t="e">
        <f t="shared" si="5"/>
        <v>#N/A</v>
      </c>
      <c r="N31" s="112">
        <v>4.7</v>
      </c>
      <c r="O31" s="112"/>
      <c r="P31" s="112"/>
      <c r="Q31" s="112"/>
      <c r="R31" s="112"/>
      <c r="S31" s="121" t="e">
        <f t="shared" si="6"/>
        <v>#N/A</v>
      </c>
      <c r="T31" s="121" t="e">
        <f t="shared" si="7"/>
        <v>#N/A</v>
      </c>
      <c r="U31" s="121" t="e">
        <f t="shared" si="8"/>
        <v>#N/A</v>
      </c>
      <c r="V31" s="121" t="e">
        <f t="shared" si="9"/>
        <v>#N/A</v>
      </c>
      <c r="W31" s="121" t="e">
        <f t="shared" si="10"/>
        <v>#N/A</v>
      </c>
      <c r="X31" s="113" t="e">
        <f t="shared" si="11"/>
        <v>#N/A</v>
      </c>
    </row>
    <row r="32" spans="2:26" x14ac:dyDescent="0.2">
      <c r="B32" s="108">
        <v>10.199999999999999</v>
      </c>
      <c r="C32" s="108"/>
      <c r="D32" s="108"/>
      <c r="E32" s="108"/>
      <c r="F32" s="108"/>
      <c r="G32" s="120" t="e">
        <f t="shared" si="0"/>
        <v>#N/A</v>
      </c>
      <c r="H32" s="120" t="e">
        <f t="shared" si="1"/>
        <v>#N/A</v>
      </c>
      <c r="I32" s="120" t="e">
        <f t="shared" si="2"/>
        <v>#N/A</v>
      </c>
      <c r="J32" s="120" t="e">
        <f t="shared" si="3"/>
        <v>#N/A</v>
      </c>
      <c r="K32" s="120" t="e">
        <f t="shared" si="4"/>
        <v>#N/A</v>
      </c>
      <c r="L32" s="109" t="e">
        <f t="shared" si="5"/>
        <v>#N/A</v>
      </c>
      <c r="N32" s="108">
        <v>5.0999999999999996</v>
      </c>
      <c r="O32" s="108"/>
      <c r="P32" s="108"/>
      <c r="Q32" s="108"/>
      <c r="R32" s="108"/>
      <c r="S32" s="120" t="e">
        <f t="shared" si="6"/>
        <v>#N/A</v>
      </c>
      <c r="T32" s="120" t="e">
        <f t="shared" si="7"/>
        <v>#N/A</v>
      </c>
      <c r="U32" s="120" t="e">
        <f t="shared" si="8"/>
        <v>#N/A</v>
      </c>
      <c r="V32" s="120" t="e">
        <f t="shared" si="9"/>
        <v>#N/A</v>
      </c>
      <c r="W32" s="120" t="e">
        <f t="shared" si="10"/>
        <v>#N/A</v>
      </c>
      <c r="X32" s="109" t="e">
        <f t="shared" si="11"/>
        <v>#N/A</v>
      </c>
    </row>
    <row r="33" spans="2:24" x14ac:dyDescent="0.2">
      <c r="B33" s="112">
        <v>10.4</v>
      </c>
      <c r="C33" s="112"/>
      <c r="D33" s="112"/>
      <c r="E33" s="112"/>
      <c r="F33" s="112"/>
      <c r="G33" s="121" t="e">
        <f t="shared" si="0"/>
        <v>#N/A</v>
      </c>
      <c r="H33" s="121" t="e">
        <f t="shared" si="1"/>
        <v>#N/A</v>
      </c>
      <c r="I33" s="121" t="e">
        <f t="shared" si="2"/>
        <v>#N/A</v>
      </c>
      <c r="J33" s="121" t="e">
        <f t="shared" si="3"/>
        <v>#N/A</v>
      </c>
      <c r="K33" s="121" t="e">
        <f t="shared" si="4"/>
        <v>#N/A</v>
      </c>
      <c r="L33" s="113" t="e">
        <f t="shared" si="5"/>
        <v>#N/A</v>
      </c>
      <c r="N33" s="112">
        <v>5.2</v>
      </c>
      <c r="O33" s="112"/>
      <c r="P33" s="112"/>
      <c r="Q33" s="112"/>
      <c r="R33" s="112"/>
      <c r="S33" s="121" t="e">
        <f t="shared" si="6"/>
        <v>#N/A</v>
      </c>
      <c r="T33" s="121" t="e">
        <f t="shared" si="7"/>
        <v>#N/A</v>
      </c>
      <c r="U33" s="121" t="e">
        <f t="shared" si="8"/>
        <v>#N/A</v>
      </c>
      <c r="V33" s="121" t="e">
        <f t="shared" si="9"/>
        <v>#N/A</v>
      </c>
      <c r="W33" s="121" t="e">
        <f t="shared" si="10"/>
        <v>#N/A</v>
      </c>
      <c r="X33" s="113" t="e">
        <f t="shared" si="11"/>
        <v>#N/A</v>
      </c>
    </row>
    <row r="34" spans="2:24" x14ac:dyDescent="0.2">
      <c r="B34" s="108">
        <v>10.5</v>
      </c>
      <c r="C34" s="108"/>
      <c r="D34" s="108"/>
      <c r="E34" s="108"/>
      <c r="F34" s="108"/>
      <c r="G34" s="120" t="e">
        <f t="shared" si="0"/>
        <v>#N/A</v>
      </c>
      <c r="H34" s="120" t="e">
        <f t="shared" si="1"/>
        <v>#N/A</v>
      </c>
      <c r="I34" s="120" t="e">
        <f t="shared" si="2"/>
        <v>#N/A</v>
      </c>
      <c r="J34" s="120" t="e">
        <f t="shared" si="3"/>
        <v>#N/A</v>
      </c>
      <c r="K34" s="120" t="e">
        <f t="shared" si="4"/>
        <v>#N/A</v>
      </c>
      <c r="L34" s="109" t="e">
        <f t="shared" si="5"/>
        <v>#N/A</v>
      </c>
      <c r="N34" s="108">
        <v>5.3</v>
      </c>
      <c r="O34" s="108"/>
      <c r="P34" s="108"/>
      <c r="Q34" s="108"/>
      <c r="R34" s="108"/>
      <c r="S34" s="120" t="e">
        <f t="shared" si="6"/>
        <v>#N/A</v>
      </c>
      <c r="T34" s="120" t="e">
        <f t="shared" si="7"/>
        <v>#N/A</v>
      </c>
      <c r="U34" s="120" t="e">
        <f t="shared" si="8"/>
        <v>#N/A</v>
      </c>
      <c r="V34" s="120" t="e">
        <f t="shared" si="9"/>
        <v>#N/A</v>
      </c>
      <c r="W34" s="120" t="e">
        <f t="shared" si="10"/>
        <v>#N/A</v>
      </c>
      <c r="X34" s="109" t="e">
        <f t="shared" si="11"/>
        <v>#N/A</v>
      </c>
    </row>
    <row r="35" spans="2:24" x14ac:dyDescent="0.2">
      <c r="B35" s="112">
        <v>11.4</v>
      </c>
      <c r="C35" s="112"/>
      <c r="D35" s="112"/>
      <c r="E35" s="112"/>
      <c r="F35" s="112"/>
      <c r="G35" s="121" t="e">
        <f t="shared" si="0"/>
        <v>#N/A</v>
      </c>
      <c r="H35" s="121" t="e">
        <f t="shared" si="1"/>
        <v>#N/A</v>
      </c>
      <c r="I35" s="121" t="e">
        <f t="shared" si="2"/>
        <v>#N/A</v>
      </c>
      <c r="J35" s="121" t="e">
        <f t="shared" si="3"/>
        <v>#N/A</v>
      </c>
      <c r="K35" s="121" t="e">
        <f t="shared" si="4"/>
        <v>#N/A</v>
      </c>
      <c r="L35" s="113" t="e">
        <f t="shared" si="5"/>
        <v>#N/A</v>
      </c>
      <c r="N35" s="112">
        <v>5.4</v>
      </c>
      <c r="O35" s="112"/>
      <c r="P35" s="112"/>
      <c r="Q35" s="112"/>
      <c r="R35" s="112"/>
      <c r="S35" s="121" t="e">
        <f t="shared" si="6"/>
        <v>#N/A</v>
      </c>
      <c r="T35" s="121" t="e">
        <f t="shared" si="7"/>
        <v>#N/A</v>
      </c>
      <c r="U35" s="121" t="e">
        <f t="shared" si="8"/>
        <v>#N/A</v>
      </c>
      <c r="V35" s="121" t="e">
        <f t="shared" si="9"/>
        <v>#N/A</v>
      </c>
      <c r="W35" s="121" t="e">
        <f t="shared" si="10"/>
        <v>#N/A</v>
      </c>
      <c r="X35" s="113" t="e">
        <f t="shared" si="11"/>
        <v>#N/A</v>
      </c>
    </row>
    <row r="36" spans="2:24" x14ac:dyDescent="0.2">
      <c r="B36" s="108">
        <v>12.1</v>
      </c>
      <c r="C36" s="108"/>
      <c r="D36" s="108"/>
      <c r="E36" s="108"/>
      <c r="F36" s="108"/>
      <c r="G36" s="120" t="e">
        <f t="shared" si="0"/>
        <v>#N/A</v>
      </c>
      <c r="H36" s="120" t="e">
        <f t="shared" si="1"/>
        <v>#N/A</v>
      </c>
      <c r="I36" s="120" t="e">
        <f t="shared" si="2"/>
        <v>#N/A</v>
      </c>
      <c r="J36" s="120" t="e">
        <f t="shared" si="3"/>
        <v>#N/A</v>
      </c>
      <c r="K36" s="120" t="e">
        <f t="shared" si="4"/>
        <v>#N/A</v>
      </c>
      <c r="L36" s="109" t="e">
        <f t="shared" si="5"/>
        <v>#N/A</v>
      </c>
      <c r="N36" s="108">
        <v>6.1</v>
      </c>
      <c r="O36" s="108"/>
      <c r="P36" s="108"/>
      <c r="Q36" s="108"/>
      <c r="R36" s="108"/>
      <c r="S36" s="120" t="e">
        <f t="shared" si="6"/>
        <v>#N/A</v>
      </c>
      <c r="T36" s="120" t="e">
        <f t="shared" si="7"/>
        <v>#N/A</v>
      </c>
      <c r="U36" s="120" t="e">
        <f t="shared" si="8"/>
        <v>#N/A</v>
      </c>
      <c r="V36" s="120" t="e">
        <f t="shared" si="9"/>
        <v>#N/A</v>
      </c>
      <c r="W36" s="120" t="e">
        <f t="shared" si="10"/>
        <v>#N/A</v>
      </c>
      <c r="X36" s="109" t="e">
        <f t="shared" si="11"/>
        <v>#N/A</v>
      </c>
    </row>
    <row r="37" spans="2:24" x14ac:dyDescent="0.2">
      <c r="B37" s="112">
        <v>12.4</v>
      </c>
      <c r="C37" s="112"/>
      <c r="D37" s="112"/>
      <c r="E37" s="112"/>
      <c r="F37" s="112"/>
      <c r="G37" s="121" t="e">
        <f t="shared" si="0"/>
        <v>#N/A</v>
      </c>
      <c r="H37" s="121" t="e">
        <f t="shared" si="1"/>
        <v>#N/A</v>
      </c>
      <c r="I37" s="121" t="e">
        <f t="shared" si="2"/>
        <v>#N/A</v>
      </c>
      <c r="J37" s="121" t="e">
        <f t="shared" si="3"/>
        <v>#N/A</v>
      </c>
      <c r="K37" s="121" t="e">
        <f t="shared" si="4"/>
        <v>#N/A</v>
      </c>
      <c r="L37" s="113" t="e">
        <f t="shared" si="5"/>
        <v>#N/A</v>
      </c>
      <c r="N37" s="112">
        <v>6.2</v>
      </c>
      <c r="O37" s="112"/>
      <c r="P37" s="112"/>
      <c r="Q37" s="112"/>
      <c r="R37" s="112"/>
      <c r="S37" s="121" t="e">
        <f t="shared" si="6"/>
        <v>#N/A</v>
      </c>
      <c r="T37" s="121" t="e">
        <f t="shared" si="7"/>
        <v>#N/A</v>
      </c>
      <c r="U37" s="121" t="e">
        <f t="shared" si="8"/>
        <v>#N/A</v>
      </c>
      <c r="V37" s="121" t="e">
        <f t="shared" si="9"/>
        <v>#N/A</v>
      </c>
      <c r="W37" s="121" t="e">
        <f t="shared" si="10"/>
        <v>#N/A</v>
      </c>
      <c r="X37" s="113" t="e">
        <f t="shared" si="11"/>
        <v>#N/A</v>
      </c>
    </row>
    <row r="38" spans="2:24" x14ac:dyDescent="0.2">
      <c r="B38" s="108">
        <v>13.1</v>
      </c>
      <c r="C38" s="108"/>
      <c r="D38" s="108"/>
      <c r="E38" s="108"/>
      <c r="F38" s="108"/>
      <c r="G38" s="120" t="e">
        <f t="shared" si="0"/>
        <v>#N/A</v>
      </c>
      <c r="H38" s="120" t="e">
        <f t="shared" si="1"/>
        <v>#N/A</v>
      </c>
      <c r="I38" s="120" t="e">
        <f t="shared" si="2"/>
        <v>#N/A</v>
      </c>
      <c r="J38" s="120" t="e">
        <f t="shared" si="3"/>
        <v>#N/A</v>
      </c>
      <c r="K38" s="120" t="e">
        <f t="shared" si="4"/>
        <v>#N/A</v>
      </c>
      <c r="L38" s="109" t="e">
        <f t="shared" si="5"/>
        <v>#N/A</v>
      </c>
      <c r="N38" s="108">
        <v>6.3</v>
      </c>
      <c r="O38" s="108"/>
      <c r="P38" s="108"/>
      <c r="Q38" s="108"/>
      <c r="R38" s="108"/>
      <c r="S38" s="120" t="e">
        <f t="shared" si="6"/>
        <v>#N/A</v>
      </c>
      <c r="T38" s="120" t="e">
        <f t="shared" si="7"/>
        <v>#N/A</v>
      </c>
      <c r="U38" s="120" t="e">
        <f t="shared" si="8"/>
        <v>#N/A</v>
      </c>
      <c r="V38" s="120" t="e">
        <f t="shared" si="9"/>
        <v>#N/A</v>
      </c>
      <c r="W38" s="120" t="e">
        <f t="shared" si="10"/>
        <v>#N/A</v>
      </c>
      <c r="X38" s="109" t="e">
        <f t="shared" si="11"/>
        <v>#N/A</v>
      </c>
    </row>
    <row r="39" spans="2:24" x14ac:dyDescent="0.2">
      <c r="B39" s="112">
        <v>13.2</v>
      </c>
      <c r="C39" s="112"/>
      <c r="D39" s="112"/>
      <c r="E39" s="112"/>
      <c r="F39" s="112"/>
      <c r="G39" s="121" t="e">
        <f t="shared" si="0"/>
        <v>#N/A</v>
      </c>
      <c r="H39" s="121" t="e">
        <f t="shared" si="1"/>
        <v>#N/A</v>
      </c>
      <c r="I39" s="121" t="e">
        <f t="shared" si="2"/>
        <v>#N/A</v>
      </c>
      <c r="J39" s="121" t="e">
        <f t="shared" si="3"/>
        <v>#N/A</v>
      </c>
      <c r="K39" s="121" t="e">
        <f t="shared" si="4"/>
        <v>#N/A</v>
      </c>
      <c r="L39" s="113" t="e">
        <f t="shared" si="5"/>
        <v>#N/A</v>
      </c>
      <c r="N39" s="112">
        <v>6.4</v>
      </c>
      <c r="O39" s="112"/>
      <c r="P39" s="112"/>
      <c r="Q39" s="112"/>
      <c r="R39" s="112"/>
      <c r="S39" s="121" t="e">
        <f t="shared" si="6"/>
        <v>#N/A</v>
      </c>
      <c r="T39" s="121" t="e">
        <f t="shared" si="7"/>
        <v>#N/A</v>
      </c>
      <c r="U39" s="121" t="e">
        <f t="shared" si="8"/>
        <v>#N/A</v>
      </c>
      <c r="V39" s="121" t="e">
        <f t="shared" si="9"/>
        <v>#N/A</v>
      </c>
      <c r="W39" s="121" t="e">
        <f t="shared" si="10"/>
        <v>#N/A</v>
      </c>
      <c r="X39" s="113" t="e">
        <f t="shared" si="11"/>
        <v>#N/A</v>
      </c>
    </row>
    <row r="40" spans="2:24" x14ac:dyDescent="0.2">
      <c r="B40" s="108">
        <v>13.6</v>
      </c>
      <c r="C40" s="108"/>
      <c r="D40" s="108"/>
      <c r="E40" s="108"/>
      <c r="F40" s="108"/>
      <c r="G40" s="120" t="e">
        <f t="shared" si="0"/>
        <v>#N/A</v>
      </c>
      <c r="H40" s="120" t="e">
        <f t="shared" si="1"/>
        <v>#N/A</v>
      </c>
      <c r="I40" s="120" t="e">
        <f t="shared" si="2"/>
        <v>#N/A</v>
      </c>
      <c r="J40" s="120" t="e">
        <f t="shared" si="3"/>
        <v>#N/A</v>
      </c>
      <c r="K40" s="120" t="e">
        <f t="shared" si="4"/>
        <v>#N/A</v>
      </c>
      <c r="L40" s="109" t="e">
        <f t="shared" si="5"/>
        <v>#N/A</v>
      </c>
      <c r="N40" s="108">
        <v>6.5</v>
      </c>
      <c r="O40" s="108"/>
      <c r="P40" s="108"/>
      <c r="Q40" s="108"/>
      <c r="R40" s="108"/>
      <c r="S40" s="120" t="e">
        <f t="shared" si="6"/>
        <v>#N/A</v>
      </c>
      <c r="T40" s="120" t="e">
        <f t="shared" si="7"/>
        <v>#N/A</v>
      </c>
      <c r="U40" s="120" t="e">
        <f t="shared" si="8"/>
        <v>#N/A</v>
      </c>
      <c r="V40" s="120" t="e">
        <f t="shared" si="9"/>
        <v>#N/A</v>
      </c>
      <c r="W40" s="120" t="e">
        <f t="shared" si="10"/>
        <v>#N/A</v>
      </c>
      <c r="X40" s="109" t="e">
        <f t="shared" si="11"/>
        <v>#N/A</v>
      </c>
    </row>
    <row r="41" spans="2:24" x14ac:dyDescent="0.2">
      <c r="B41" s="112">
        <v>14.6</v>
      </c>
      <c r="C41" s="112"/>
      <c r="D41" s="112"/>
      <c r="E41" s="112"/>
      <c r="F41" s="112"/>
      <c r="G41" s="121" t="e">
        <f t="shared" si="0"/>
        <v>#N/A</v>
      </c>
      <c r="H41" s="121" t="e">
        <f t="shared" si="1"/>
        <v>#N/A</v>
      </c>
      <c r="I41" s="121" t="e">
        <f t="shared" si="2"/>
        <v>#N/A</v>
      </c>
      <c r="J41" s="121" t="e">
        <f t="shared" si="3"/>
        <v>#N/A</v>
      </c>
      <c r="K41" s="121" t="e">
        <f t="shared" si="4"/>
        <v>#N/A</v>
      </c>
      <c r="L41" s="113" t="e">
        <f t="shared" si="5"/>
        <v>#N/A</v>
      </c>
      <c r="N41" s="112">
        <v>7.1</v>
      </c>
      <c r="O41" s="112"/>
      <c r="P41" s="112"/>
      <c r="Q41" s="112"/>
      <c r="R41" s="112"/>
      <c r="S41" s="121" t="e">
        <f t="shared" si="6"/>
        <v>#N/A</v>
      </c>
      <c r="T41" s="121" t="e">
        <f t="shared" si="7"/>
        <v>#N/A</v>
      </c>
      <c r="U41" s="121" t="e">
        <f t="shared" si="8"/>
        <v>#N/A</v>
      </c>
      <c r="V41" s="121" t="e">
        <f t="shared" si="9"/>
        <v>#N/A</v>
      </c>
      <c r="W41" s="121" t="e">
        <f t="shared" si="10"/>
        <v>#N/A</v>
      </c>
      <c r="X41" s="113" t="e">
        <f t="shared" si="11"/>
        <v>#N/A</v>
      </c>
    </row>
    <row r="42" spans="2:24" x14ac:dyDescent="0.2">
      <c r="B42" s="108">
        <v>15.7</v>
      </c>
      <c r="C42" s="108"/>
      <c r="D42" s="108"/>
      <c r="E42" s="108"/>
      <c r="F42" s="108"/>
      <c r="G42" s="120" t="e">
        <f t="shared" si="0"/>
        <v>#N/A</v>
      </c>
      <c r="H42" s="120" t="e">
        <f t="shared" si="1"/>
        <v>#N/A</v>
      </c>
      <c r="I42" s="120" t="e">
        <f t="shared" si="2"/>
        <v>#N/A</v>
      </c>
      <c r="J42" s="120" t="e">
        <f t="shared" si="3"/>
        <v>#N/A</v>
      </c>
      <c r="K42" s="120" t="e">
        <f t="shared" si="4"/>
        <v>#N/A</v>
      </c>
      <c r="L42" s="109" t="e">
        <f t="shared" si="5"/>
        <v>#N/A</v>
      </c>
      <c r="N42" s="108">
        <v>7.2</v>
      </c>
      <c r="O42" s="108"/>
      <c r="P42" s="108"/>
      <c r="Q42" s="108"/>
      <c r="R42" s="108"/>
      <c r="S42" s="120" t="e">
        <f t="shared" si="6"/>
        <v>#N/A</v>
      </c>
      <c r="T42" s="120" t="e">
        <f t="shared" si="7"/>
        <v>#N/A</v>
      </c>
      <c r="U42" s="120" t="e">
        <f t="shared" si="8"/>
        <v>#N/A</v>
      </c>
      <c r="V42" s="120" t="e">
        <f t="shared" si="9"/>
        <v>#N/A</v>
      </c>
      <c r="W42" s="120" t="e">
        <f t="shared" si="10"/>
        <v>#N/A</v>
      </c>
      <c r="X42" s="109" t="e">
        <f t="shared" si="11"/>
        <v>#N/A</v>
      </c>
    </row>
    <row r="43" spans="2:24" x14ac:dyDescent="0.2">
      <c r="B43" s="115">
        <v>15.1</v>
      </c>
      <c r="C43" s="112"/>
      <c r="D43" s="112"/>
      <c r="E43" s="112"/>
      <c r="F43" s="112"/>
      <c r="G43" s="121" t="e">
        <f t="shared" si="0"/>
        <v>#N/A</v>
      </c>
      <c r="H43" s="121" t="e">
        <f t="shared" si="1"/>
        <v>#N/A</v>
      </c>
      <c r="I43" s="121" t="e">
        <f t="shared" si="2"/>
        <v>#N/A</v>
      </c>
      <c r="J43" s="121" t="e">
        <f t="shared" si="3"/>
        <v>#N/A</v>
      </c>
      <c r="K43" s="121" t="e">
        <f t="shared" si="4"/>
        <v>#N/A</v>
      </c>
      <c r="L43" s="113" t="e">
        <f t="shared" si="5"/>
        <v>#N/A</v>
      </c>
      <c r="N43" s="112">
        <v>7.3</v>
      </c>
      <c r="O43" s="112"/>
      <c r="P43" s="112"/>
      <c r="Q43" s="112"/>
      <c r="R43" s="112"/>
      <c r="S43" s="121" t="e">
        <f t="shared" si="6"/>
        <v>#N/A</v>
      </c>
      <c r="T43" s="121" t="e">
        <f t="shared" si="7"/>
        <v>#N/A</v>
      </c>
      <c r="U43" s="121" t="e">
        <f t="shared" si="8"/>
        <v>#N/A</v>
      </c>
      <c r="V43" s="121" t="e">
        <f t="shared" si="9"/>
        <v>#N/A</v>
      </c>
      <c r="W43" s="121" t="e">
        <f t="shared" si="10"/>
        <v>#N/A</v>
      </c>
      <c r="X43" s="113" t="e">
        <f t="shared" si="11"/>
        <v>#N/A</v>
      </c>
    </row>
    <row r="44" spans="2:24" x14ac:dyDescent="0.2">
      <c r="B44" s="108">
        <v>16.8</v>
      </c>
      <c r="C44" s="108"/>
      <c r="D44" s="108"/>
      <c r="E44" s="108"/>
      <c r="F44" s="108"/>
      <c r="G44" s="120" t="e">
        <f t="shared" si="0"/>
        <v>#N/A</v>
      </c>
      <c r="H44" s="120" t="e">
        <f t="shared" si="1"/>
        <v>#N/A</v>
      </c>
      <c r="I44" s="120" t="e">
        <f t="shared" si="2"/>
        <v>#N/A</v>
      </c>
      <c r="J44" s="120" t="e">
        <f t="shared" si="3"/>
        <v>#N/A</v>
      </c>
      <c r="K44" s="120" t="e">
        <f t="shared" si="4"/>
        <v>#N/A</v>
      </c>
      <c r="L44" s="109" t="e">
        <f t="shared" si="5"/>
        <v>#N/A</v>
      </c>
      <c r="N44" s="108">
        <v>7.4</v>
      </c>
      <c r="O44" s="108"/>
      <c r="P44" s="108"/>
      <c r="Q44" s="108"/>
      <c r="R44" s="108"/>
      <c r="S44" s="120" t="e">
        <f t="shared" si="6"/>
        <v>#N/A</v>
      </c>
      <c r="T44" s="120" t="e">
        <f t="shared" si="7"/>
        <v>#N/A</v>
      </c>
      <c r="U44" s="120" t="e">
        <f t="shared" si="8"/>
        <v>#N/A</v>
      </c>
      <c r="V44" s="120" t="e">
        <f t="shared" si="9"/>
        <v>#N/A</v>
      </c>
      <c r="W44" s="120" t="e">
        <f t="shared" si="10"/>
        <v>#N/A</v>
      </c>
      <c r="X44" s="109" t="e">
        <f t="shared" si="11"/>
        <v>#N/A</v>
      </c>
    </row>
    <row r="45" spans="2:24" x14ac:dyDescent="0.2">
      <c r="B45" s="112">
        <v>16.899999999999999</v>
      </c>
      <c r="C45" s="112"/>
      <c r="D45" s="112"/>
      <c r="E45" s="112"/>
      <c r="F45" s="112"/>
      <c r="G45" s="121" t="e">
        <f t="shared" si="0"/>
        <v>#N/A</v>
      </c>
      <c r="H45" s="121" t="e">
        <f t="shared" si="1"/>
        <v>#N/A</v>
      </c>
      <c r="I45" s="121" t="e">
        <f t="shared" si="2"/>
        <v>#N/A</v>
      </c>
      <c r="J45" s="121" t="e">
        <f t="shared" si="3"/>
        <v>#N/A</v>
      </c>
      <c r="K45" s="121" t="e">
        <f t="shared" si="4"/>
        <v>#N/A</v>
      </c>
      <c r="L45" s="113" t="e">
        <f t="shared" si="5"/>
        <v>#N/A</v>
      </c>
      <c r="N45" s="112">
        <v>8.1</v>
      </c>
      <c r="O45" s="112"/>
      <c r="P45" s="112"/>
      <c r="Q45" s="112"/>
      <c r="R45" s="112"/>
      <c r="S45" s="121" t="e">
        <f t="shared" si="6"/>
        <v>#N/A</v>
      </c>
      <c r="T45" s="121" t="e">
        <f t="shared" si="7"/>
        <v>#N/A</v>
      </c>
      <c r="U45" s="121" t="e">
        <f t="shared" si="8"/>
        <v>#N/A</v>
      </c>
      <c r="V45" s="121" t="e">
        <f t="shared" si="9"/>
        <v>#N/A</v>
      </c>
      <c r="W45" s="121" t="e">
        <f t="shared" si="10"/>
        <v>#N/A</v>
      </c>
      <c r="X45" s="113" t="e">
        <f t="shared" si="11"/>
        <v>#N/A</v>
      </c>
    </row>
    <row r="46" spans="2:24" x14ac:dyDescent="0.2">
      <c r="B46" s="108">
        <v>16.11</v>
      </c>
      <c r="C46" s="108"/>
      <c r="D46" s="108"/>
      <c r="E46" s="108"/>
      <c r="F46" s="108"/>
      <c r="G46" s="120" t="e">
        <f t="shared" si="0"/>
        <v>#N/A</v>
      </c>
      <c r="H46" s="120" t="e">
        <f t="shared" si="1"/>
        <v>#N/A</v>
      </c>
      <c r="I46" s="120" t="e">
        <f t="shared" si="2"/>
        <v>#N/A</v>
      </c>
      <c r="J46" s="120" t="e">
        <f t="shared" si="3"/>
        <v>#N/A</v>
      </c>
      <c r="K46" s="120" t="e">
        <f t="shared" si="4"/>
        <v>#N/A</v>
      </c>
      <c r="L46" s="109" t="e">
        <f t="shared" si="5"/>
        <v>#N/A</v>
      </c>
      <c r="N46" s="108">
        <v>8.1999999999999993</v>
      </c>
      <c r="O46" s="108"/>
      <c r="P46" s="108"/>
      <c r="Q46" s="108"/>
      <c r="R46" s="108"/>
      <c r="S46" s="120" t="e">
        <f t="shared" si="6"/>
        <v>#N/A</v>
      </c>
      <c r="T46" s="120" t="e">
        <f t="shared" si="7"/>
        <v>#N/A</v>
      </c>
      <c r="U46" s="120" t="e">
        <f t="shared" si="8"/>
        <v>#N/A</v>
      </c>
      <c r="V46" s="120" t="e">
        <f t="shared" si="9"/>
        <v>#N/A</v>
      </c>
      <c r="W46" s="120" t="e">
        <f t="shared" si="10"/>
        <v>#N/A</v>
      </c>
      <c r="X46" s="109" t="e">
        <f t="shared" si="11"/>
        <v>#N/A</v>
      </c>
    </row>
    <row r="47" spans="2:24" x14ac:dyDescent="0.2">
      <c r="B47" s="112">
        <v>17.3</v>
      </c>
      <c r="C47" s="112"/>
      <c r="D47" s="112"/>
      <c r="E47" s="112"/>
      <c r="F47" s="112"/>
      <c r="G47" s="121" t="e">
        <f t="shared" si="0"/>
        <v>#N/A</v>
      </c>
      <c r="H47" s="121" t="e">
        <f t="shared" si="1"/>
        <v>#N/A</v>
      </c>
      <c r="I47" s="121" t="e">
        <f t="shared" si="2"/>
        <v>#N/A</v>
      </c>
      <c r="J47" s="121" t="e">
        <f t="shared" si="3"/>
        <v>#N/A</v>
      </c>
      <c r="K47" s="121" t="e">
        <f t="shared" si="4"/>
        <v>#N/A</v>
      </c>
      <c r="L47" s="113" t="e">
        <f t="shared" si="5"/>
        <v>#N/A</v>
      </c>
      <c r="N47" s="112">
        <v>8.3000000000000007</v>
      </c>
      <c r="O47" s="112"/>
      <c r="P47" s="112"/>
      <c r="Q47" s="112"/>
      <c r="R47" s="112"/>
      <c r="S47" s="121" t="e">
        <f t="shared" si="6"/>
        <v>#N/A</v>
      </c>
      <c r="T47" s="121" t="e">
        <f t="shared" si="7"/>
        <v>#N/A</v>
      </c>
      <c r="U47" s="121" t="e">
        <f t="shared" si="8"/>
        <v>#N/A</v>
      </c>
      <c r="V47" s="121" t="e">
        <f t="shared" si="9"/>
        <v>#N/A</v>
      </c>
      <c r="W47" s="121" t="e">
        <f t="shared" si="10"/>
        <v>#N/A</v>
      </c>
      <c r="X47" s="113" t="e">
        <f t="shared" si="11"/>
        <v>#N/A</v>
      </c>
    </row>
    <row r="48" spans="2:24" x14ac:dyDescent="0.2">
      <c r="B48" s="108">
        <v>17.5</v>
      </c>
      <c r="C48" s="108"/>
      <c r="D48" s="108"/>
      <c r="E48" s="108"/>
      <c r="F48" s="108"/>
      <c r="G48" s="120" t="e">
        <f t="shared" si="0"/>
        <v>#N/A</v>
      </c>
      <c r="H48" s="120" t="e">
        <f t="shared" si="1"/>
        <v>#N/A</v>
      </c>
      <c r="I48" s="120" t="e">
        <f t="shared" si="2"/>
        <v>#N/A</v>
      </c>
      <c r="J48" s="120" t="e">
        <f t="shared" si="3"/>
        <v>#N/A</v>
      </c>
      <c r="K48" s="120" t="e">
        <f t="shared" si="4"/>
        <v>#N/A</v>
      </c>
      <c r="L48" s="109" t="e">
        <f t="shared" si="5"/>
        <v>#N/A</v>
      </c>
      <c r="N48" s="108">
        <v>9.1</v>
      </c>
      <c r="O48" s="108"/>
      <c r="P48" s="108"/>
      <c r="Q48" s="108"/>
      <c r="R48" s="108"/>
      <c r="S48" s="120" t="e">
        <f t="shared" si="6"/>
        <v>#N/A</v>
      </c>
      <c r="T48" s="120" t="e">
        <f t="shared" si="7"/>
        <v>#N/A</v>
      </c>
      <c r="U48" s="120" t="e">
        <f t="shared" si="8"/>
        <v>#N/A</v>
      </c>
      <c r="V48" s="120" t="e">
        <f t="shared" si="9"/>
        <v>#N/A</v>
      </c>
      <c r="W48" s="120" t="e">
        <f t="shared" si="10"/>
        <v>#N/A</v>
      </c>
      <c r="X48" s="109" t="e">
        <f t="shared" si="11"/>
        <v>#N/A</v>
      </c>
    </row>
    <row r="49" spans="2:24" x14ac:dyDescent="0.2">
      <c r="B49" s="112">
        <v>17.600000000000001</v>
      </c>
      <c r="C49" s="112"/>
      <c r="D49" s="112"/>
      <c r="E49" s="112"/>
      <c r="F49" s="112"/>
      <c r="G49" s="121" t="e">
        <f t="shared" si="0"/>
        <v>#N/A</v>
      </c>
      <c r="H49" s="121" t="e">
        <f t="shared" si="1"/>
        <v>#N/A</v>
      </c>
      <c r="I49" s="121" t="e">
        <f t="shared" si="2"/>
        <v>#N/A</v>
      </c>
      <c r="J49" s="121" t="e">
        <f t="shared" si="3"/>
        <v>#N/A</v>
      </c>
      <c r="K49" s="121" t="e">
        <f t="shared" si="4"/>
        <v>#N/A</v>
      </c>
      <c r="L49" s="113" t="e">
        <f t="shared" si="5"/>
        <v>#N/A</v>
      </c>
      <c r="N49" s="112">
        <v>9.1999999999999993</v>
      </c>
      <c r="O49" s="112"/>
      <c r="P49" s="112"/>
      <c r="Q49" s="112"/>
      <c r="R49" s="112"/>
      <c r="S49" s="121" t="e">
        <f t="shared" si="6"/>
        <v>#N/A</v>
      </c>
      <c r="T49" s="121" t="e">
        <f t="shared" si="7"/>
        <v>#N/A</v>
      </c>
      <c r="U49" s="121" t="e">
        <f t="shared" si="8"/>
        <v>#N/A</v>
      </c>
      <c r="V49" s="121" t="e">
        <f t="shared" si="9"/>
        <v>#N/A</v>
      </c>
      <c r="W49" s="121" t="e">
        <f t="shared" si="10"/>
        <v>#N/A</v>
      </c>
      <c r="X49" s="113" t="e">
        <f t="shared" si="11"/>
        <v>#N/A</v>
      </c>
    </row>
    <row r="50" spans="2:24" x14ac:dyDescent="0.2">
      <c r="B50" s="108">
        <v>17.7</v>
      </c>
      <c r="C50" s="108"/>
      <c r="D50" s="108"/>
      <c r="E50" s="108"/>
      <c r="F50" s="108"/>
      <c r="G50" s="120" t="e">
        <f t="shared" si="0"/>
        <v>#N/A</v>
      </c>
      <c r="H50" s="120" t="e">
        <f t="shared" si="1"/>
        <v>#N/A</v>
      </c>
      <c r="I50" s="120" t="e">
        <f t="shared" si="2"/>
        <v>#N/A</v>
      </c>
      <c r="J50" s="120" t="e">
        <f t="shared" si="3"/>
        <v>#N/A</v>
      </c>
      <c r="K50" s="120" t="e">
        <f t="shared" si="4"/>
        <v>#N/A</v>
      </c>
      <c r="L50" s="109" t="e">
        <f t="shared" si="5"/>
        <v>#N/A</v>
      </c>
      <c r="N50" s="108">
        <v>10.1</v>
      </c>
      <c r="O50" s="108"/>
      <c r="P50" s="108"/>
      <c r="Q50" s="108"/>
      <c r="R50" s="108"/>
      <c r="S50" s="120" t="e">
        <f t="shared" si="6"/>
        <v>#N/A</v>
      </c>
      <c r="T50" s="120" t="e">
        <f t="shared" si="7"/>
        <v>#N/A</v>
      </c>
      <c r="U50" s="120" t="e">
        <f t="shared" si="8"/>
        <v>#N/A</v>
      </c>
      <c r="V50" s="120" t="e">
        <f t="shared" si="9"/>
        <v>#N/A</v>
      </c>
      <c r="W50" s="120" t="e">
        <f t="shared" si="10"/>
        <v>#N/A</v>
      </c>
      <c r="X50" s="109" t="e">
        <f t="shared" si="11"/>
        <v>#N/A</v>
      </c>
    </row>
    <row r="51" spans="2:24" x14ac:dyDescent="0.2">
      <c r="B51" s="112">
        <v>17.8</v>
      </c>
      <c r="C51" s="112"/>
      <c r="D51" s="112"/>
      <c r="E51" s="112"/>
      <c r="F51" s="112"/>
      <c r="G51" s="121" t="e">
        <f t="shared" si="0"/>
        <v>#N/A</v>
      </c>
      <c r="H51" s="121" t="e">
        <f t="shared" si="1"/>
        <v>#N/A</v>
      </c>
      <c r="I51" s="121" t="e">
        <f t="shared" si="2"/>
        <v>#N/A</v>
      </c>
      <c r="J51" s="121" t="e">
        <f t="shared" si="3"/>
        <v>#N/A</v>
      </c>
      <c r="K51" s="121" t="e">
        <f t="shared" si="4"/>
        <v>#N/A</v>
      </c>
      <c r="L51" s="113" t="e">
        <f t="shared" si="5"/>
        <v>#N/A</v>
      </c>
      <c r="N51" s="112">
        <v>10.199999999999999</v>
      </c>
      <c r="O51" s="112"/>
      <c r="P51" s="112"/>
      <c r="Q51" s="112"/>
      <c r="R51" s="112"/>
      <c r="S51" s="121" t="e">
        <f t="shared" si="6"/>
        <v>#N/A</v>
      </c>
      <c r="T51" s="121" t="e">
        <f t="shared" si="7"/>
        <v>#N/A</v>
      </c>
      <c r="U51" s="121" t="e">
        <f t="shared" si="8"/>
        <v>#N/A</v>
      </c>
      <c r="V51" s="121" t="e">
        <f t="shared" si="9"/>
        <v>#N/A</v>
      </c>
      <c r="W51" s="121" t="e">
        <f t="shared" si="10"/>
        <v>#N/A</v>
      </c>
      <c r="X51" s="113" t="e">
        <f t="shared" si="11"/>
        <v>#N/A</v>
      </c>
    </row>
    <row r="52" spans="2:24" x14ac:dyDescent="0.2">
      <c r="B52" s="108">
        <v>17.899999999999999</v>
      </c>
      <c r="C52" s="108"/>
      <c r="D52" s="108"/>
      <c r="E52" s="108"/>
      <c r="F52" s="108"/>
      <c r="G52" s="120" t="e">
        <f t="shared" si="0"/>
        <v>#N/A</v>
      </c>
      <c r="H52" s="120" t="e">
        <f t="shared" si="1"/>
        <v>#N/A</v>
      </c>
      <c r="I52" s="120" t="e">
        <f t="shared" si="2"/>
        <v>#N/A</v>
      </c>
      <c r="J52" s="120" t="e">
        <f t="shared" si="3"/>
        <v>#N/A</v>
      </c>
      <c r="K52" s="120" t="e">
        <f t="shared" si="4"/>
        <v>#N/A</v>
      </c>
      <c r="L52" s="109" t="e">
        <f t="shared" si="5"/>
        <v>#N/A</v>
      </c>
      <c r="N52" s="108">
        <v>10.3</v>
      </c>
      <c r="O52" s="108"/>
      <c r="P52" s="108"/>
      <c r="Q52" s="108"/>
      <c r="R52" s="108"/>
      <c r="S52" s="120" t="e">
        <f t="shared" si="6"/>
        <v>#N/A</v>
      </c>
      <c r="T52" s="120" t="e">
        <f t="shared" si="7"/>
        <v>#N/A</v>
      </c>
      <c r="U52" s="120" t="e">
        <f t="shared" si="8"/>
        <v>#N/A</v>
      </c>
      <c r="V52" s="120" t="e">
        <f t="shared" si="9"/>
        <v>#N/A</v>
      </c>
      <c r="W52" s="120" t="e">
        <f t="shared" si="10"/>
        <v>#N/A</v>
      </c>
      <c r="X52" s="109" t="e">
        <f t="shared" si="11"/>
        <v>#N/A</v>
      </c>
    </row>
    <row r="53" spans="2:24" x14ac:dyDescent="0.2">
      <c r="B53" s="112">
        <v>19.100000000000001</v>
      </c>
      <c r="C53" s="112"/>
      <c r="D53" s="112"/>
      <c r="E53" s="112"/>
      <c r="F53" s="112"/>
      <c r="G53" s="121" t="e">
        <f t="shared" si="0"/>
        <v>#N/A</v>
      </c>
      <c r="H53" s="121" t="e">
        <f t="shared" si="1"/>
        <v>#N/A</v>
      </c>
      <c r="I53" s="121" t="e">
        <f t="shared" si="2"/>
        <v>#N/A</v>
      </c>
      <c r="J53" s="121" t="e">
        <f t="shared" si="3"/>
        <v>#N/A</v>
      </c>
      <c r="K53" s="121" t="e">
        <f t="shared" si="4"/>
        <v>#N/A</v>
      </c>
      <c r="L53" s="113" t="e">
        <f t="shared" si="5"/>
        <v>#N/A</v>
      </c>
      <c r="N53" s="112">
        <v>11.1</v>
      </c>
      <c r="O53" s="112"/>
      <c r="P53" s="112"/>
      <c r="Q53" s="112"/>
      <c r="R53" s="112"/>
      <c r="S53" s="121" t="e">
        <f t="shared" si="6"/>
        <v>#N/A</v>
      </c>
      <c r="T53" s="121" t="e">
        <f t="shared" si="7"/>
        <v>#N/A</v>
      </c>
      <c r="U53" s="121" t="e">
        <f t="shared" si="8"/>
        <v>#N/A</v>
      </c>
      <c r="V53" s="121" t="e">
        <f t="shared" si="9"/>
        <v>#N/A</v>
      </c>
      <c r="W53" s="121" t="e">
        <f t="shared" si="10"/>
        <v>#N/A</v>
      </c>
      <c r="X53" s="113" t="e">
        <f t="shared" si="11"/>
        <v>#N/A</v>
      </c>
    </row>
    <row r="54" spans="2:24" x14ac:dyDescent="0.2">
      <c r="B54" s="108">
        <v>19.3</v>
      </c>
      <c r="C54" s="108"/>
      <c r="D54" s="108"/>
      <c r="E54" s="108"/>
      <c r="F54" s="108"/>
      <c r="G54" s="120" t="e">
        <f t="shared" si="0"/>
        <v>#N/A</v>
      </c>
      <c r="H54" s="120" t="e">
        <f t="shared" si="1"/>
        <v>#N/A</v>
      </c>
      <c r="I54" s="120" t="e">
        <f t="shared" si="2"/>
        <v>#N/A</v>
      </c>
      <c r="J54" s="120" t="e">
        <f t="shared" si="3"/>
        <v>#N/A</v>
      </c>
      <c r="K54" s="120" t="e">
        <f t="shared" si="4"/>
        <v>#N/A</v>
      </c>
      <c r="L54" s="109" t="e">
        <f t="shared" si="5"/>
        <v>#N/A</v>
      </c>
      <c r="N54" s="108">
        <v>11.2</v>
      </c>
      <c r="O54" s="108"/>
      <c r="P54" s="108"/>
      <c r="Q54" s="108"/>
      <c r="R54" s="108"/>
      <c r="S54" s="120" t="e">
        <f t="shared" si="6"/>
        <v>#N/A</v>
      </c>
      <c r="T54" s="120" t="e">
        <f t="shared" si="7"/>
        <v>#N/A</v>
      </c>
      <c r="U54" s="120" t="e">
        <f t="shared" si="8"/>
        <v>#N/A</v>
      </c>
      <c r="V54" s="120" t="e">
        <f t="shared" si="9"/>
        <v>#N/A</v>
      </c>
      <c r="W54" s="120" t="e">
        <f t="shared" si="10"/>
        <v>#N/A</v>
      </c>
      <c r="X54" s="109" t="e">
        <f t="shared" si="11"/>
        <v>#N/A</v>
      </c>
    </row>
    <row r="55" spans="2:24" x14ac:dyDescent="0.2">
      <c r="B55" s="112">
        <v>19.5</v>
      </c>
      <c r="C55" s="112"/>
      <c r="D55" s="112"/>
      <c r="E55" s="112"/>
      <c r="F55" s="112"/>
      <c r="G55" s="121" t="e">
        <f t="shared" si="0"/>
        <v>#N/A</v>
      </c>
      <c r="H55" s="121" t="e">
        <f t="shared" si="1"/>
        <v>#N/A</v>
      </c>
      <c r="I55" s="121" t="e">
        <f t="shared" si="2"/>
        <v>#N/A</v>
      </c>
      <c r="J55" s="121" t="e">
        <f t="shared" si="3"/>
        <v>#N/A</v>
      </c>
      <c r="K55" s="121" t="e">
        <f t="shared" si="4"/>
        <v>#N/A</v>
      </c>
      <c r="L55" s="113" t="e">
        <f t="shared" si="5"/>
        <v>#N/A</v>
      </c>
      <c r="N55" s="112">
        <v>11.3</v>
      </c>
      <c r="O55" s="112"/>
      <c r="P55" s="112"/>
      <c r="Q55" s="112"/>
      <c r="R55" s="112"/>
      <c r="S55" s="121" t="e">
        <f t="shared" si="6"/>
        <v>#N/A</v>
      </c>
      <c r="T55" s="121" t="e">
        <f t="shared" si="7"/>
        <v>#N/A</v>
      </c>
      <c r="U55" s="121" t="e">
        <f t="shared" si="8"/>
        <v>#N/A</v>
      </c>
      <c r="V55" s="121" t="e">
        <f t="shared" si="9"/>
        <v>#N/A</v>
      </c>
      <c r="W55" s="121" t="e">
        <f t="shared" si="10"/>
        <v>#N/A</v>
      </c>
      <c r="X55" s="113" t="e">
        <f t="shared" si="11"/>
        <v>#N/A</v>
      </c>
    </row>
    <row r="56" spans="2:24" ht="13.5" thickBot="1" x14ac:dyDescent="0.25">
      <c r="B56" s="116">
        <v>19.600000000000001</v>
      </c>
      <c r="C56" s="116"/>
      <c r="D56" s="116"/>
      <c r="E56" s="116"/>
      <c r="F56" s="116"/>
      <c r="G56" s="122" t="e">
        <f t="shared" si="0"/>
        <v>#N/A</v>
      </c>
      <c r="H56" s="122" t="e">
        <f t="shared" si="1"/>
        <v>#N/A</v>
      </c>
      <c r="I56" s="122" t="e">
        <f t="shared" si="2"/>
        <v>#N/A</v>
      </c>
      <c r="J56" s="122" t="e">
        <f t="shared" si="3"/>
        <v>#N/A</v>
      </c>
      <c r="K56" s="122" t="e">
        <f t="shared" si="4"/>
        <v>#N/A</v>
      </c>
      <c r="L56" s="117" t="e">
        <f t="shared" si="5"/>
        <v>#N/A</v>
      </c>
      <c r="N56" s="108">
        <v>11.4</v>
      </c>
      <c r="O56" s="108"/>
      <c r="P56" s="108"/>
      <c r="Q56" s="108"/>
      <c r="R56" s="108"/>
      <c r="S56" s="120" t="e">
        <f t="shared" si="6"/>
        <v>#N/A</v>
      </c>
      <c r="T56" s="120" t="e">
        <f t="shared" si="7"/>
        <v>#N/A</v>
      </c>
      <c r="U56" s="120" t="e">
        <f t="shared" si="8"/>
        <v>#N/A</v>
      </c>
      <c r="V56" s="120" t="e">
        <f t="shared" si="9"/>
        <v>#N/A</v>
      </c>
      <c r="W56" s="120" t="e">
        <f t="shared" si="10"/>
        <v>#N/A</v>
      </c>
      <c r="X56" s="109" t="e">
        <f t="shared" si="11"/>
        <v>#N/A</v>
      </c>
    </row>
    <row r="57" spans="2:24" x14ac:dyDescent="0.2">
      <c r="N57" s="112">
        <v>12.1</v>
      </c>
      <c r="O57" s="112"/>
      <c r="P57" s="112"/>
      <c r="Q57" s="112"/>
      <c r="R57" s="112"/>
      <c r="S57" s="121" t="e">
        <f t="shared" si="6"/>
        <v>#N/A</v>
      </c>
      <c r="T57" s="121" t="e">
        <f t="shared" si="7"/>
        <v>#N/A</v>
      </c>
      <c r="U57" s="121" t="e">
        <f t="shared" si="8"/>
        <v>#N/A</v>
      </c>
      <c r="V57" s="121" t="e">
        <f t="shared" si="9"/>
        <v>#N/A</v>
      </c>
      <c r="W57" s="121" t="e">
        <f t="shared" si="10"/>
        <v>#N/A</v>
      </c>
      <c r="X57" s="113" t="e">
        <f t="shared" si="11"/>
        <v>#N/A</v>
      </c>
    </row>
    <row r="58" spans="2:24" x14ac:dyDescent="0.2">
      <c r="N58" s="108">
        <v>14.1</v>
      </c>
      <c r="O58" s="108"/>
      <c r="P58" s="108"/>
      <c r="Q58" s="108"/>
      <c r="R58" s="108"/>
      <c r="S58" s="120" t="e">
        <f t="shared" si="6"/>
        <v>#N/A</v>
      </c>
      <c r="T58" s="120" t="e">
        <f t="shared" si="7"/>
        <v>#N/A</v>
      </c>
      <c r="U58" s="120" t="e">
        <f t="shared" si="8"/>
        <v>#N/A</v>
      </c>
      <c r="V58" s="120" t="e">
        <f t="shared" si="9"/>
        <v>#N/A</v>
      </c>
      <c r="W58" s="120" t="e">
        <f t="shared" si="10"/>
        <v>#N/A</v>
      </c>
      <c r="X58" s="109" t="e">
        <f t="shared" si="11"/>
        <v>#N/A</v>
      </c>
    </row>
    <row r="59" spans="2:24" x14ac:dyDescent="0.2">
      <c r="N59" s="112">
        <v>14.2</v>
      </c>
      <c r="O59" s="112"/>
      <c r="P59" s="112"/>
      <c r="Q59" s="112"/>
      <c r="R59" s="112"/>
      <c r="S59" s="121" t="e">
        <f t="shared" si="6"/>
        <v>#N/A</v>
      </c>
      <c r="T59" s="121" t="e">
        <f t="shared" si="7"/>
        <v>#N/A</v>
      </c>
      <c r="U59" s="121" t="e">
        <f t="shared" si="8"/>
        <v>#N/A</v>
      </c>
      <c r="V59" s="121" t="e">
        <f t="shared" si="9"/>
        <v>#N/A</v>
      </c>
      <c r="W59" s="121" t="e">
        <f t="shared" si="10"/>
        <v>#N/A</v>
      </c>
      <c r="X59" s="113" t="e">
        <f t="shared" si="11"/>
        <v>#N/A</v>
      </c>
    </row>
    <row r="60" spans="2:24" x14ac:dyDescent="0.2">
      <c r="N60" s="108">
        <v>14.3</v>
      </c>
      <c r="O60" s="108"/>
      <c r="P60" s="108"/>
      <c r="Q60" s="108"/>
      <c r="R60" s="108"/>
      <c r="S60" s="120" t="e">
        <f t="shared" si="6"/>
        <v>#N/A</v>
      </c>
      <c r="T60" s="120" t="e">
        <f t="shared" si="7"/>
        <v>#N/A</v>
      </c>
      <c r="U60" s="120" t="e">
        <f t="shared" si="8"/>
        <v>#N/A</v>
      </c>
      <c r="V60" s="120" t="e">
        <f t="shared" si="9"/>
        <v>#N/A</v>
      </c>
      <c r="W60" s="120" t="e">
        <f t="shared" si="10"/>
        <v>#N/A</v>
      </c>
      <c r="X60" s="109" t="e">
        <f t="shared" si="11"/>
        <v>#N/A</v>
      </c>
    </row>
    <row r="61" spans="2:24" x14ac:dyDescent="0.2">
      <c r="N61" s="112">
        <v>14.4</v>
      </c>
      <c r="O61" s="112"/>
      <c r="P61" s="112"/>
      <c r="Q61" s="112"/>
      <c r="R61" s="112"/>
      <c r="S61" s="121" t="e">
        <f t="shared" si="6"/>
        <v>#N/A</v>
      </c>
      <c r="T61" s="121" t="e">
        <f t="shared" si="7"/>
        <v>#N/A</v>
      </c>
      <c r="U61" s="121" t="e">
        <f t="shared" si="8"/>
        <v>#N/A</v>
      </c>
      <c r="V61" s="121" t="e">
        <f t="shared" si="9"/>
        <v>#N/A</v>
      </c>
      <c r="W61" s="121" t="e">
        <f t="shared" si="10"/>
        <v>#N/A</v>
      </c>
      <c r="X61" s="113" t="e">
        <f t="shared" si="11"/>
        <v>#N/A</v>
      </c>
    </row>
    <row r="62" spans="2:24" x14ac:dyDescent="0.2">
      <c r="N62" s="108">
        <v>14.5</v>
      </c>
      <c r="O62" s="108"/>
      <c r="P62" s="108"/>
      <c r="Q62" s="108"/>
      <c r="R62" s="108"/>
      <c r="S62" s="120" t="e">
        <f t="shared" si="6"/>
        <v>#N/A</v>
      </c>
      <c r="T62" s="120" t="e">
        <f t="shared" si="7"/>
        <v>#N/A</v>
      </c>
      <c r="U62" s="120" t="e">
        <f t="shared" si="8"/>
        <v>#N/A</v>
      </c>
      <c r="V62" s="120" t="e">
        <f t="shared" si="9"/>
        <v>#N/A</v>
      </c>
      <c r="W62" s="120" t="e">
        <f t="shared" si="10"/>
        <v>#N/A</v>
      </c>
      <c r="X62" s="109" t="e">
        <f t="shared" si="11"/>
        <v>#N/A</v>
      </c>
    </row>
    <row r="63" spans="2:24" x14ac:dyDescent="0.2">
      <c r="N63" s="112">
        <v>14.6</v>
      </c>
      <c r="O63" s="112"/>
      <c r="P63" s="112"/>
      <c r="Q63" s="112"/>
      <c r="R63" s="112"/>
      <c r="S63" s="121" t="e">
        <f t="shared" si="6"/>
        <v>#N/A</v>
      </c>
      <c r="T63" s="121" t="e">
        <f t="shared" si="7"/>
        <v>#N/A</v>
      </c>
      <c r="U63" s="121" t="e">
        <f t="shared" si="8"/>
        <v>#N/A</v>
      </c>
      <c r="V63" s="121" t="e">
        <f t="shared" si="9"/>
        <v>#N/A</v>
      </c>
      <c r="W63" s="121" t="e">
        <f t="shared" si="10"/>
        <v>#N/A</v>
      </c>
      <c r="X63" s="113" t="e">
        <f t="shared" si="11"/>
        <v>#N/A</v>
      </c>
    </row>
    <row r="64" spans="2:24" x14ac:dyDescent="0.2">
      <c r="N64" s="108">
        <v>14.7</v>
      </c>
      <c r="O64" s="108"/>
      <c r="P64" s="108"/>
      <c r="Q64" s="108"/>
      <c r="R64" s="108"/>
      <c r="S64" s="120" t="e">
        <f t="shared" si="6"/>
        <v>#N/A</v>
      </c>
      <c r="T64" s="120" t="e">
        <f t="shared" si="7"/>
        <v>#N/A</v>
      </c>
      <c r="U64" s="120" t="e">
        <f t="shared" si="8"/>
        <v>#N/A</v>
      </c>
      <c r="V64" s="120" t="e">
        <f t="shared" si="9"/>
        <v>#N/A</v>
      </c>
      <c r="W64" s="120" t="e">
        <f t="shared" si="10"/>
        <v>#N/A</v>
      </c>
      <c r="X64" s="109" t="e">
        <f t="shared" si="11"/>
        <v>#N/A</v>
      </c>
    </row>
    <row r="65" spans="14:24" x14ac:dyDescent="0.2">
      <c r="N65" s="112">
        <v>14.8</v>
      </c>
      <c r="O65" s="112"/>
      <c r="P65" s="112"/>
      <c r="Q65" s="112"/>
      <c r="R65" s="112"/>
      <c r="S65" s="121" t="e">
        <f t="shared" si="6"/>
        <v>#N/A</v>
      </c>
      <c r="T65" s="121" t="e">
        <f t="shared" si="7"/>
        <v>#N/A</v>
      </c>
      <c r="U65" s="121" t="e">
        <f t="shared" si="8"/>
        <v>#N/A</v>
      </c>
      <c r="V65" s="121" t="e">
        <f t="shared" si="9"/>
        <v>#N/A</v>
      </c>
      <c r="W65" s="121" t="e">
        <f t="shared" si="10"/>
        <v>#N/A</v>
      </c>
      <c r="X65" s="113" t="e">
        <f t="shared" si="11"/>
        <v>#N/A</v>
      </c>
    </row>
    <row r="66" spans="14:24" x14ac:dyDescent="0.2">
      <c r="N66" s="108">
        <v>15.1</v>
      </c>
      <c r="O66" s="108"/>
      <c r="P66" s="108"/>
      <c r="Q66" s="108"/>
      <c r="R66" s="108"/>
      <c r="S66" s="120" t="e">
        <f t="shared" si="6"/>
        <v>#N/A</v>
      </c>
      <c r="T66" s="120" t="e">
        <f t="shared" si="7"/>
        <v>#N/A</v>
      </c>
      <c r="U66" s="120" t="e">
        <f t="shared" si="8"/>
        <v>#N/A</v>
      </c>
      <c r="V66" s="120" t="e">
        <f t="shared" si="9"/>
        <v>#N/A</v>
      </c>
      <c r="W66" s="120" t="e">
        <f t="shared" si="10"/>
        <v>#N/A</v>
      </c>
      <c r="X66" s="109" t="e">
        <f t="shared" si="11"/>
        <v>#N/A</v>
      </c>
    </row>
    <row r="67" spans="14:24" x14ac:dyDescent="0.2">
      <c r="N67" s="112">
        <v>17.100000000000001</v>
      </c>
      <c r="O67" s="112"/>
      <c r="P67" s="112"/>
      <c r="Q67" s="112"/>
      <c r="R67" s="112"/>
      <c r="S67" s="121" t="e">
        <f t="shared" si="6"/>
        <v>#N/A</v>
      </c>
      <c r="T67" s="121" t="e">
        <f t="shared" si="7"/>
        <v>#N/A</v>
      </c>
      <c r="U67" s="121" t="e">
        <f t="shared" si="8"/>
        <v>#N/A</v>
      </c>
      <c r="V67" s="121" t="e">
        <f t="shared" si="9"/>
        <v>#N/A</v>
      </c>
      <c r="W67" s="121" t="e">
        <f t="shared" si="10"/>
        <v>#N/A</v>
      </c>
      <c r="X67" s="113" t="e">
        <f t="shared" si="11"/>
        <v>#N/A</v>
      </c>
    </row>
    <row r="68" spans="14:24" x14ac:dyDescent="0.2">
      <c r="N68" s="108">
        <v>17.2</v>
      </c>
      <c r="O68" s="108"/>
      <c r="P68" s="108"/>
      <c r="Q68" s="108"/>
      <c r="R68" s="108"/>
      <c r="S68" s="120" t="e">
        <f t="shared" si="6"/>
        <v>#N/A</v>
      </c>
      <c r="T68" s="120" t="e">
        <f t="shared" si="7"/>
        <v>#N/A</v>
      </c>
      <c r="U68" s="120" t="e">
        <f t="shared" si="8"/>
        <v>#N/A</v>
      </c>
      <c r="V68" s="120" t="e">
        <f t="shared" si="9"/>
        <v>#N/A</v>
      </c>
      <c r="W68" s="120" t="e">
        <f t="shared" si="10"/>
        <v>#N/A</v>
      </c>
      <c r="X68" s="109" t="e">
        <f t="shared" si="11"/>
        <v>#N/A</v>
      </c>
    </row>
    <row r="69" spans="14:24" ht="13.5" thickBot="1" x14ac:dyDescent="0.25">
      <c r="N69" s="118">
        <v>17.3</v>
      </c>
      <c r="O69" s="118"/>
      <c r="P69" s="118"/>
      <c r="Q69" s="118"/>
      <c r="R69" s="118"/>
      <c r="S69" s="124" t="e">
        <f t="shared" si="6"/>
        <v>#N/A</v>
      </c>
      <c r="T69" s="124" t="e">
        <f t="shared" si="7"/>
        <v>#N/A</v>
      </c>
      <c r="U69" s="124" t="e">
        <f t="shared" si="8"/>
        <v>#N/A</v>
      </c>
      <c r="V69" s="124" t="e">
        <f t="shared" si="9"/>
        <v>#N/A</v>
      </c>
      <c r="W69" s="124" t="e">
        <f t="shared" si="10"/>
        <v>#N/A</v>
      </c>
      <c r="X69" s="119" t="e">
        <f t="shared" si="11"/>
        <v>#N/A</v>
      </c>
    </row>
  </sheetData>
  <sheetProtection sheet="1" objects="1" scenarios="1"/>
  <mergeCells count="10">
    <mergeCell ref="AB1:AC1"/>
    <mergeCell ref="L12:L13"/>
    <mergeCell ref="X12:X13"/>
    <mergeCell ref="K12:K13"/>
    <mergeCell ref="C12:F12"/>
    <mergeCell ref="G12:J12"/>
    <mergeCell ref="O12:R12"/>
    <mergeCell ref="S12:V12"/>
    <mergeCell ref="W12:W13"/>
    <mergeCell ref="B1:X1"/>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CD4B-C13E-4CBC-8AEF-7B34C42784DA}">
  <sheetPr>
    <tabColor rgb="FFFF0000"/>
  </sheetPr>
  <dimension ref="B2:AE76"/>
  <sheetViews>
    <sheetView showGridLines="0" zoomScaleNormal="100" workbookViewId="0">
      <selection activeCell="B2" sqref="B2:B4"/>
    </sheetView>
  </sheetViews>
  <sheetFormatPr defaultColWidth="9.140625" defaultRowHeight="12.75" x14ac:dyDescent="0.2"/>
  <cols>
    <col min="1" max="1" width="9.140625" style="2"/>
    <col min="2" max="2" width="20.7109375" style="2" bestFit="1" customWidth="1"/>
    <col min="3" max="3" width="21.5703125" style="17" customWidth="1"/>
    <col min="4" max="6" width="21.5703125" style="2" customWidth="1"/>
    <col min="7" max="12" width="12" style="2" customWidth="1"/>
    <col min="13" max="13" width="12.140625" style="2" customWidth="1"/>
    <col min="14" max="14" width="20.5703125" style="2" customWidth="1"/>
    <col min="15" max="15" width="26.42578125" style="2" customWidth="1"/>
    <col min="16" max="16" width="34.85546875" style="2" customWidth="1"/>
    <col min="17" max="18" width="22.42578125" style="2" customWidth="1"/>
    <col min="19" max="19" width="18.140625" style="2" customWidth="1"/>
    <col min="20" max="20" width="20.42578125" style="2" customWidth="1"/>
    <col min="21" max="26" width="15.5703125" style="2" customWidth="1"/>
    <col min="27" max="27" width="11.5703125" style="2" customWidth="1"/>
    <col min="28" max="28" width="12.85546875" style="2" customWidth="1"/>
    <col min="29" max="29" width="20.140625" style="2" customWidth="1"/>
    <col min="30" max="30" width="9.140625" style="2"/>
    <col min="31" max="31" width="14.140625" style="2" bestFit="1" customWidth="1"/>
    <col min="32" max="16384" width="9.140625" style="2"/>
  </cols>
  <sheetData>
    <row r="2" spans="2:31" ht="12.75" customHeight="1" x14ac:dyDescent="0.2">
      <c r="B2" s="251" t="s">
        <v>431</v>
      </c>
      <c r="C2" s="152" t="s">
        <v>152</v>
      </c>
      <c r="D2" s="300" t="s">
        <v>282</v>
      </c>
      <c r="E2" s="300"/>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row>
    <row r="3" spans="2:31" x14ac:dyDescent="0.2">
      <c r="B3" s="252"/>
      <c r="C3" s="152" t="s">
        <v>53</v>
      </c>
      <c r="D3" s="300" t="s">
        <v>281</v>
      </c>
      <c r="E3" s="300"/>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row>
    <row r="4" spans="2:31" x14ac:dyDescent="0.2">
      <c r="B4" s="253"/>
      <c r="C4" s="152" t="s">
        <v>54</v>
      </c>
      <c r="D4" s="301">
        <v>44428</v>
      </c>
      <c r="E4" s="300"/>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row>
    <row r="5" spans="2:31" x14ac:dyDescent="0.2">
      <c r="B5" s="153"/>
      <c r="C5" s="154"/>
      <c r="D5" s="153"/>
      <c r="E5" s="153"/>
      <c r="F5" s="153"/>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row>
    <row r="6" spans="2:31" x14ac:dyDescent="0.2">
      <c r="B6" s="155"/>
      <c r="C6" s="156"/>
      <c r="D6" s="156"/>
      <c r="E6" s="156"/>
      <c r="F6" s="156"/>
      <c r="G6" s="156"/>
      <c r="H6" s="156"/>
      <c r="I6" s="156"/>
      <c r="J6" s="156"/>
      <c r="K6" s="156"/>
      <c r="L6" s="156"/>
      <c r="M6" s="156"/>
      <c r="N6" s="156"/>
      <c r="O6" s="153"/>
      <c r="P6" s="153"/>
      <c r="Q6" s="153"/>
      <c r="R6" s="153"/>
      <c r="S6" s="153"/>
      <c r="T6" s="153"/>
      <c r="U6" s="153"/>
      <c r="V6" s="153"/>
      <c r="W6" s="153"/>
      <c r="X6" s="153"/>
      <c r="Y6" s="153"/>
      <c r="Z6" s="153"/>
      <c r="AA6" s="153"/>
      <c r="AB6" s="153"/>
      <c r="AC6" s="153"/>
      <c r="AD6" s="153"/>
      <c r="AE6" s="153"/>
    </row>
    <row r="7" spans="2:31" x14ac:dyDescent="0.2">
      <c r="B7" s="153"/>
      <c r="C7" s="154"/>
      <c r="D7" s="153"/>
      <c r="E7" s="153"/>
      <c r="F7" s="153"/>
      <c r="G7" s="153"/>
      <c r="H7" s="153"/>
      <c r="I7" s="153"/>
      <c r="J7" s="153"/>
      <c r="K7" s="153"/>
      <c r="L7" s="153"/>
      <c r="M7" s="153"/>
      <c r="N7" s="153"/>
      <c r="O7" s="153"/>
      <c r="P7" s="153"/>
      <c r="Q7" s="153"/>
      <c r="R7" s="153"/>
      <c r="S7" s="153"/>
      <c r="T7" s="153"/>
      <c r="U7" s="153"/>
      <c r="V7" s="153"/>
      <c r="W7" s="153"/>
      <c r="X7" s="153"/>
      <c r="Y7" s="153"/>
      <c r="Z7" s="153"/>
      <c r="AA7" s="153"/>
      <c r="AB7" s="153"/>
      <c r="AC7" s="153"/>
      <c r="AD7" s="153"/>
      <c r="AE7" s="153"/>
    </row>
    <row r="8" spans="2:31" ht="12.75" customHeight="1" x14ac:dyDescent="0.2">
      <c r="B8" s="157" t="s">
        <v>48</v>
      </c>
      <c r="C8" s="302"/>
      <c r="D8" s="302"/>
      <c r="E8" s="302"/>
      <c r="F8" s="302"/>
      <c r="G8" s="153"/>
      <c r="H8" s="308" t="s">
        <v>296</v>
      </c>
      <c r="I8" s="308"/>
      <c r="J8" s="308"/>
      <c r="K8" s="308"/>
      <c r="L8" s="308"/>
      <c r="M8" s="308"/>
      <c r="N8" s="308"/>
      <c r="O8" s="217"/>
      <c r="P8" s="153"/>
      <c r="Q8" s="153"/>
      <c r="R8" s="153"/>
      <c r="S8" s="153"/>
      <c r="T8" s="153"/>
      <c r="U8" s="153"/>
      <c r="V8" s="153"/>
      <c r="W8" s="153"/>
      <c r="X8" s="153"/>
      <c r="Y8" s="153"/>
      <c r="Z8" s="153"/>
      <c r="AA8" s="153"/>
      <c r="AB8" s="153"/>
      <c r="AC8" s="153"/>
      <c r="AD8" s="153"/>
      <c r="AE8" s="153"/>
    </row>
    <row r="9" spans="2:31" ht="12.75" customHeight="1" x14ac:dyDescent="0.2">
      <c r="B9" s="153"/>
      <c r="C9" s="153"/>
      <c r="D9" s="153"/>
      <c r="E9" s="153"/>
      <c r="F9" s="153"/>
      <c r="G9" s="153"/>
      <c r="H9" s="308"/>
      <c r="I9" s="308"/>
      <c r="J9" s="308"/>
      <c r="K9" s="308"/>
      <c r="L9" s="308"/>
      <c r="M9" s="308"/>
      <c r="N9" s="308"/>
      <c r="O9" s="217"/>
      <c r="P9" s="153"/>
      <c r="Q9" s="153"/>
      <c r="R9" s="153"/>
      <c r="S9" s="153"/>
      <c r="T9" s="153"/>
      <c r="U9" s="153"/>
      <c r="V9" s="153"/>
      <c r="W9" s="153"/>
      <c r="X9" s="153"/>
      <c r="Y9" s="153"/>
      <c r="Z9" s="153"/>
      <c r="AA9" s="153"/>
      <c r="AB9" s="153"/>
      <c r="AC9" s="153"/>
      <c r="AD9" s="153"/>
      <c r="AE9" s="153"/>
    </row>
    <row r="10" spans="2:31" ht="25.5" customHeight="1" x14ac:dyDescent="0.2">
      <c r="B10" s="158" t="s">
        <v>5</v>
      </c>
      <c r="C10" s="43" t="s">
        <v>6</v>
      </c>
      <c r="D10" s="43" t="s">
        <v>153</v>
      </c>
      <c r="E10" s="150" t="s">
        <v>154</v>
      </c>
      <c r="F10" s="43" t="s">
        <v>52</v>
      </c>
      <c r="G10" s="153"/>
      <c r="H10" s="308"/>
      <c r="I10" s="308"/>
      <c r="J10" s="308"/>
      <c r="K10" s="308"/>
      <c r="L10" s="308"/>
      <c r="M10" s="308"/>
      <c r="N10" s="308"/>
      <c r="O10" s="217"/>
      <c r="P10" s="153"/>
      <c r="Q10" s="153"/>
      <c r="R10" s="153"/>
      <c r="S10" s="153"/>
      <c r="T10" s="153"/>
      <c r="U10" s="153"/>
      <c r="V10" s="153"/>
      <c r="W10" s="153"/>
      <c r="X10" s="153"/>
      <c r="Y10" s="153"/>
      <c r="Z10" s="153"/>
      <c r="AA10" s="153"/>
      <c r="AB10" s="153"/>
      <c r="AC10" s="153"/>
      <c r="AD10" s="153"/>
      <c r="AE10" s="153"/>
    </row>
    <row r="11" spans="2:31" ht="127.5" x14ac:dyDescent="0.2">
      <c r="B11" s="159" t="s">
        <v>4</v>
      </c>
      <c r="C11" s="160" t="s">
        <v>283</v>
      </c>
      <c r="D11" s="160" t="s">
        <v>284</v>
      </c>
      <c r="E11" s="161" t="s">
        <v>67</v>
      </c>
      <c r="F11" s="162" t="s">
        <v>285</v>
      </c>
      <c r="G11" s="153"/>
      <c r="H11" s="308"/>
      <c r="I11" s="308"/>
      <c r="J11" s="308"/>
      <c r="K11" s="308"/>
      <c r="L11" s="308"/>
      <c r="M11" s="308"/>
      <c r="N11" s="308"/>
      <c r="O11" s="217"/>
      <c r="P11" s="153"/>
      <c r="Q11" s="153"/>
      <c r="R11" s="153"/>
      <c r="S11" s="153"/>
      <c r="T11" s="153"/>
      <c r="U11" s="153"/>
      <c r="V11" s="153"/>
      <c r="W11" s="153"/>
      <c r="X11" s="153"/>
      <c r="Y11" s="153"/>
      <c r="Z11" s="153"/>
      <c r="AA11" s="153"/>
      <c r="AB11" s="153"/>
      <c r="AC11" s="153"/>
      <c r="AD11" s="153"/>
      <c r="AE11" s="153"/>
    </row>
    <row r="12" spans="2:31" ht="25.5" customHeight="1" x14ac:dyDescent="0.2">
      <c r="B12" s="163" t="s">
        <v>61</v>
      </c>
      <c r="C12" s="160" t="s">
        <v>56</v>
      </c>
      <c r="D12" s="160" t="s">
        <v>58</v>
      </c>
      <c r="E12" s="164">
        <v>20000</v>
      </c>
      <c r="F12" s="160" t="s">
        <v>64</v>
      </c>
      <c r="G12" s="153"/>
      <c r="H12" s="218"/>
      <c r="I12" s="218"/>
      <c r="J12" s="218"/>
      <c r="K12" s="218"/>
      <c r="L12" s="218"/>
      <c r="M12" s="218"/>
      <c r="N12" s="218"/>
      <c r="O12" s="217"/>
      <c r="P12" s="153"/>
      <c r="Q12" s="153"/>
      <c r="R12" s="153"/>
      <c r="S12" s="153"/>
      <c r="T12" s="153"/>
      <c r="U12" s="153"/>
      <c r="V12" s="153"/>
      <c r="W12" s="153"/>
      <c r="X12" s="153"/>
      <c r="Y12" s="153"/>
      <c r="Z12" s="153"/>
      <c r="AA12" s="153"/>
      <c r="AB12" s="153"/>
      <c r="AC12" s="153"/>
      <c r="AD12" s="153"/>
      <c r="AE12" s="153"/>
    </row>
    <row r="13" spans="2:31" ht="51" x14ac:dyDescent="0.2">
      <c r="B13" s="163" t="s">
        <v>62</v>
      </c>
      <c r="C13" s="160" t="s">
        <v>57</v>
      </c>
      <c r="D13" s="160" t="s">
        <v>59</v>
      </c>
      <c r="E13" s="164">
        <v>1000000</v>
      </c>
      <c r="F13" s="160" t="s">
        <v>65</v>
      </c>
      <c r="G13" s="153"/>
      <c r="H13" s="217"/>
      <c r="I13" s="217"/>
      <c r="J13" s="217"/>
      <c r="K13" s="217"/>
      <c r="L13" s="217"/>
      <c r="M13" s="217"/>
      <c r="N13" s="217"/>
      <c r="O13" s="217"/>
      <c r="P13" s="153"/>
      <c r="Q13" s="153"/>
      <c r="R13" s="153"/>
      <c r="S13" s="153"/>
      <c r="T13" s="153"/>
      <c r="U13" s="153"/>
      <c r="V13" s="153"/>
      <c r="W13" s="153"/>
      <c r="X13" s="153"/>
      <c r="Y13" s="153"/>
      <c r="Z13" s="153"/>
      <c r="AA13" s="153"/>
      <c r="AB13" s="153"/>
      <c r="AC13" s="153"/>
      <c r="AD13" s="153"/>
      <c r="AE13" s="153"/>
    </row>
    <row r="14" spans="2:31" ht="38.25" customHeight="1" x14ac:dyDescent="0.2">
      <c r="B14" s="163" t="s">
        <v>63</v>
      </c>
      <c r="C14" s="160" t="s">
        <v>55</v>
      </c>
      <c r="D14" s="160" t="s">
        <v>60</v>
      </c>
      <c r="E14" s="165"/>
      <c r="F14" s="160" t="s">
        <v>66</v>
      </c>
      <c r="G14" s="153"/>
      <c r="H14" s="217"/>
      <c r="I14" s="217"/>
      <c r="J14" s="217"/>
      <c r="K14" s="217"/>
      <c r="L14" s="217"/>
      <c r="M14" s="217"/>
      <c r="N14" s="217"/>
      <c r="O14" s="217"/>
      <c r="P14" s="153"/>
      <c r="Q14" s="153"/>
      <c r="R14" s="153"/>
      <c r="S14" s="153"/>
      <c r="T14" s="153"/>
      <c r="U14" s="153"/>
      <c r="V14" s="153"/>
      <c r="W14" s="153"/>
      <c r="X14" s="153"/>
      <c r="Y14" s="153"/>
      <c r="Z14" s="153"/>
      <c r="AA14" s="153"/>
      <c r="AB14" s="153"/>
      <c r="AC14" s="153"/>
      <c r="AD14" s="153"/>
      <c r="AE14" s="153"/>
    </row>
    <row r="15" spans="2:31" x14ac:dyDescent="0.2">
      <c r="B15" s="153"/>
      <c r="C15" s="154"/>
      <c r="D15" s="153"/>
      <c r="E15" s="153"/>
      <c r="F15" s="153"/>
      <c r="G15" s="153"/>
      <c r="H15" s="153"/>
      <c r="I15" s="153"/>
      <c r="J15" s="153"/>
      <c r="K15" s="153"/>
      <c r="L15" s="153"/>
      <c r="M15" s="153"/>
      <c r="N15" s="153"/>
      <c r="O15" s="153"/>
      <c r="P15" s="153"/>
      <c r="Q15" s="153"/>
      <c r="R15" s="153"/>
      <c r="S15" s="153"/>
      <c r="T15" s="153"/>
      <c r="U15" s="153"/>
      <c r="V15" s="153"/>
      <c r="W15" s="153"/>
      <c r="X15" s="153"/>
      <c r="Y15" s="153"/>
      <c r="Z15" s="153"/>
      <c r="AA15" s="153"/>
      <c r="AB15" s="153"/>
      <c r="AC15" s="153"/>
      <c r="AD15" s="153"/>
      <c r="AE15" s="153"/>
    </row>
    <row r="16" spans="2:31" x14ac:dyDescent="0.2">
      <c r="B16" s="155"/>
      <c r="C16" s="156"/>
      <c r="D16" s="156"/>
      <c r="E16" s="156"/>
      <c r="F16" s="156"/>
      <c r="G16" s="156"/>
      <c r="H16" s="156"/>
      <c r="I16" s="156"/>
      <c r="J16" s="156"/>
      <c r="K16" s="156"/>
      <c r="L16" s="156"/>
      <c r="M16" s="156"/>
      <c r="N16" s="156"/>
      <c r="O16" s="153"/>
      <c r="P16" s="153"/>
      <c r="Q16" s="153"/>
      <c r="R16" s="153"/>
      <c r="S16" s="153"/>
      <c r="T16" s="153"/>
      <c r="U16" s="153"/>
      <c r="V16" s="153"/>
      <c r="W16" s="153"/>
      <c r="X16" s="153"/>
      <c r="Y16" s="153"/>
      <c r="Z16" s="153"/>
      <c r="AA16" s="153"/>
      <c r="AB16" s="153"/>
      <c r="AC16" s="153"/>
      <c r="AD16" s="153"/>
      <c r="AE16" s="153"/>
    </row>
    <row r="17" spans="2:31" x14ac:dyDescent="0.2">
      <c r="B17" s="153"/>
      <c r="C17" s="154"/>
      <c r="D17" s="153"/>
      <c r="E17" s="153"/>
      <c r="F17" s="153"/>
      <c r="G17" s="153"/>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row>
    <row r="18" spans="2:31" ht="89.65" customHeight="1" x14ac:dyDescent="0.2">
      <c r="B18" s="157" t="s">
        <v>69</v>
      </c>
      <c r="C18" s="303" t="s">
        <v>170</v>
      </c>
      <c r="D18" s="304"/>
      <c r="E18" s="305"/>
      <c r="F18" s="153"/>
      <c r="G18" s="153"/>
      <c r="H18" s="306"/>
      <c r="I18" s="153"/>
      <c r="J18" s="153"/>
      <c r="K18" s="153"/>
      <c r="L18" s="153"/>
      <c r="M18" s="153"/>
      <c r="N18" s="153"/>
      <c r="O18" s="153"/>
      <c r="P18" s="153"/>
      <c r="Q18" s="153"/>
      <c r="R18" s="153"/>
      <c r="S18" s="153"/>
      <c r="T18" s="153"/>
      <c r="U18" s="153"/>
      <c r="V18" s="153"/>
      <c r="W18" s="153"/>
      <c r="X18" s="153"/>
      <c r="Y18" s="153"/>
      <c r="Z18" s="153"/>
      <c r="AA18" s="153"/>
      <c r="AB18" s="153"/>
      <c r="AC18" s="153"/>
      <c r="AD18" s="153"/>
      <c r="AE18" s="153"/>
    </row>
    <row r="19" spans="2:31" x14ac:dyDescent="0.2">
      <c r="B19" s="166"/>
      <c r="C19" s="167"/>
      <c r="D19" s="167"/>
      <c r="E19" s="167"/>
      <c r="F19" s="153"/>
      <c r="G19" s="153"/>
      <c r="H19" s="306"/>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row>
    <row r="20" spans="2:31" ht="25.5" x14ac:dyDescent="0.2">
      <c r="B20" s="158" t="s">
        <v>51</v>
      </c>
      <c r="C20" s="43" t="s">
        <v>46</v>
      </c>
      <c r="D20" s="43" t="s">
        <v>155</v>
      </c>
      <c r="E20" s="43" t="s">
        <v>47</v>
      </c>
      <c r="F20" s="307"/>
      <c r="G20" s="307"/>
      <c r="H20" s="306"/>
      <c r="I20" s="153"/>
      <c r="J20" s="153"/>
      <c r="K20" s="153"/>
      <c r="L20" s="153"/>
      <c r="M20" s="153"/>
      <c r="N20" s="153"/>
      <c r="O20" s="153"/>
      <c r="P20" s="153"/>
      <c r="Q20" s="153"/>
      <c r="R20" s="153"/>
      <c r="S20" s="153"/>
      <c r="T20" s="153"/>
      <c r="U20" s="153"/>
      <c r="V20" s="153"/>
      <c r="W20" s="153"/>
      <c r="X20" s="153"/>
      <c r="Y20" s="153"/>
      <c r="Z20" s="153"/>
      <c r="AA20" s="153"/>
      <c r="AB20" s="153"/>
      <c r="AC20" s="153"/>
      <c r="AD20" s="153"/>
      <c r="AE20" s="153"/>
    </row>
    <row r="21" spans="2:31" x14ac:dyDescent="0.2">
      <c r="B21" s="163" t="s">
        <v>151</v>
      </c>
      <c r="C21" s="53">
        <v>2</v>
      </c>
      <c r="D21" s="53">
        <v>2</v>
      </c>
      <c r="E21" s="53">
        <v>3</v>
      </c>
      <c r="F21" s="307"/>
      <c r="G21" s="307"/>
      <c r="H21" s="306"/>
      <c r="I21" s="153"/>
      <c r="J21" s="153"/>
      <c r="K21" s="153"/>
      <c r="L21" s="153"/>
      <c r="M21" s="153"/>
      <c r="N21" s="153"/>
      <c r="O21" s="153"/>
      <c r="P21" s="153"/>
      <c r="Q21" s="153"/>
      <c r="R21" s="153"/>
      <c r="S21" s="153"/>
      <c r="T21" s="153"/>
      <c r="U21" s="153"/>
      <c r="V21" s="153"/>
      <c r="W21" s="153"/>
      <c r="X21" s="153"/>
      <c r="Y21" s="153"/>
      <c r="Z21" s="153"/>
      <c r="AA21" s="153"/>
      <c r="AB21" s="153"/>
      <c r="AC21" s="153"/>
      <c r="AD21" s="153"/>
      <c r="AE21" s="153"/>
    </row>
    <row r="22" spans="2:31" x14ac:dyDescent="0.2">
      <c r="B22" s="168" t="s">
        <v>147</v>
      </c>
      <c r="C22" s="169">
        <v>2</v>
      </c>
      <c r="D22" s="169">
        <v>2</v>
      </c>
      <c r="E22" s="169">
        <v>2</v>
      </c>
      <c r="F22" s="307"/>
      <c r="G22" s="307"/>
      <c r="H22" s="306"/>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row>
    <row r="23" spans="2:31" x14ac:dyDescent="0.2">
      <c r="B23" s="168" t="s">
        <v>148</v>
      </c>
      <c r="C23" s="169">
        <v>2</v>
      </c>
      <c r="D23" s="169">
        <v>2</v>
      </c>
      <c r="E23" s="169">
        <v>3</v>
      </c>
      <c r="F23" s="307"/>
      <c r="G23" s="307"/>
      <c r="H23" s="306"/>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row>
    <row r="24" spans="2:31" x14ac:dyDescent="0.2">
      <c r="B24" s="168" t="s">
        <v>146</v>
      </c>
      <c r="C24" s="169">
        <v>2</v>
      </c>
      <c r="D24" s="169">
        <v>2</v>
      </c>
      <c r="E24" s="169">
        <v>3</v>
      </c>
      <c r="F24" s="307"/>
      <c r="G24" s="307"/>
      <c r="H24" s="306"/>
      <c r="I24" s="153"/>
      <c r="J24" s="153"/>
      <c r="K24" s="153"/>
      <c r="L24" s="153"/>
      <c r="M24" s="153"/>
      <c r="N24" s="153"/>
      <c r="O24" s="153"/>
      <c r="P24" s="153"/>
      <c r="Q24" s="153"/>
      <c r="R24" s="153"/>
      <c r="S24" s="153"/>
      <c r="T24" s="153"/>
      <c r="U24" s="153"/>
      <c r="V24" s="153"/>
      <c r="W24" s="153"/>
      <c r="X24" s="153"/>
      <c r="Y24" s="153"/>
      <c r="Z24" s="153"/>
      <c r="AA24" s="153"/>
      <c r="AB24" s="153"/>
      <c r="AC24" s="153"/>
      <c r="AD24" s="153"/>
      <c r="AE24" s="153"/>
    </row>
    <row r="25" spans="2:31" x14ac:dyDescent="0.2">
      <c r="B25" s="168" t="s">
        <v>149</v>
      </c>
      <c r="C25" s="169">
        <v>1</v>
      </c>
      <c r="D25" s="169">
        <v>2</v>
      </c>
      <c r="E25" s="169">
        <v>2</v>
      </c>
      <c r="F25" s="307"/>
      <c r="G25" s="307"/>
      <c r="H25" s="306"/>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row>
    <row r="26" spans="2:31" x14ac:dyDescent="0.2">
      <c r="B26" s="168" t="s">
        <v>150</v>
      </c>
      <c r="C26" s="169">
        <v>2</v>
      </c>
      <c r="D26" s="169">
        <v>2</v>
      </c>
      <c r="E26" s="169">
        <v>3</v>
      </c>
      <c r="F26" s="307"/>
      <c r="G26" s="307"/>
      <c r="H26" s="306"/>
      <c r="I26" s="153"/>
      <c r="J26" s="153"/>
      <c r="K26" s="153"/>
      <c r="L26" s="153"/>
      <c r="M26" s="153"/>
      <c r="N26" s="153"/>
      <c r="O26" s="153"/>
      <c r="P26" s="153"/>
      <c r="Q26" s="153"/>
      <c r="R26" s="153"/>
      <c r="S26" s="153"/>
      <c r="T26" s="153"/>
      <c r="U26" s="153"/>
      <c r="V26" s="153"/>
      <c r="W26" s="153"/>
      <c r="X26" s="153"/>
      <c r="Y26" s="153"/>
      <c r="Z26" s="153"/>
      <c r="AA26" s="153"/>
      <c r="AB26" s="153"/>
      <c r="AC26" s="153"/>
      <c r="AD26" s="153"/>
      <c r="AE26" s="153"/>
    </row>
    <row r="27" spans="2:31" x14ac:dyDescent="0.2">
      <c r="B27" s="153"/>
      <c r="C27" s="154"/>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row>
    <row r="28" spans="2:31" x14ac:dyDescent="0.2">
      <c r="B28" s="153"/>
      <c r="C28" s="154"/>
      <c r="D28" s="153"/>
      <c r="E28" s="153"/>
      <c r="F28" s="153"/>
      <c r="G28" s="153"/>
      <c r="H28" s="153"/>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row>
    <row r="29" spans="2:31" x14ac:dyDescent="0.2">
      <c r="B29" s="155"/>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3"/>
      <c r="AC29" s="153"/>
      <c r="AD29" s="153"/>
      <c r="AE29" s="153"/>
    </row>
    <row r="30" spans="2:31" ht="15.75" customHeight="1" x14ac:dyDescent="0.2">
      <c r="B30" s="153"/>
      <c r="C30" s="154"/>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row>
    <row r="31" spans="2:31" ht="25.5" x14ac:dyDescent="0.2">
      <c r="B31" s="170" t="s">
        <v>68</v>
      </c>
      <c r="C31" s="297" t="s">
        <v>267</v>
      </c>
      <c r="D31" s="298"/>
      <c r="E31" s="298"/>
      <c r="F31" s="298"/>
      <c r="G31" s="298"/>
      <c r="H31" s="298"/>
      <c r="I31" s="298"/>
      <c r="J31" s="298"/>
      <c r="K31" s="298"/>
      <c r="L31" s="299"/>
      <c r="M31" s="170" t="s">
        <v>68</v>
      </c>
      <c r="N31" s="297" t="s">
        <v>265</v>
      </c>
      <c r="O31" s="298"/>
      <c r="P31" s="298"/>
      <c r="Q31" s="298"/>
      <c r="R31" s="298"/>
      <c r="S31" s="298"/>
      <c r="T31" s="298"/>
      <c r="U31" s="298"/>
      <c r="V31" s="298"/>
      <c r="W31" s="298"/>
      <c r="X31" s="298"/>
      <c r="Y31" s="298"/>
      <c r="Z31" s="298"/>
      <c r="AA31" s="299"/>
      <c r="AB31" s="153"/>
      <c r="AC31" s="247" t="s">
        <v>432</v>
      </c>
      <c r="AD31" s="247"/>
      <c r="AE31" s="247"/>
    </row>
    <row r="32" spans="2:31" x14ac:dyDescent="0.2">
      <c r="B32" s="153"/>
      <c r="C32" s="154"/>
      <c r="D32" s="153"/>
      <c r="E32" s="153"/>
      <c r="F32" s="153"/>
      <c r="G32" s="153"/>
      <c r="H32" s="153"/>
      <c r="I32" s="153"/>
      <c r="J32" s="153"/>
      <c r="K32" s="153"/>
      <c r="L32" s="153"/>
      <c r="M32" s="153"/>
      <c r="N32" s="153"/>
      <c r="O32" s="153"/>
      <c r="P32" s="153"/>
      <c r="Q32" s="153"/>
      <c r="R32" s="153"/>
      <c r="S32" s="153"/>
      <c r="T32" s="153"/>
      <c r="U32" s="153"/>
      <c r="V32" s="153"/>
      <c r="W32" s="153"/>
      <c r="X32" s="153"/>
      <c r="Y32" s="153"/>
      <c r="Z32" s="153"/>
      <c r="AA32" s="153"/>
      <c r="AB32" s="153"/>
      <c r="AC32" s="153"/>
      <c r="AD32" s="153"/>
      <c r="AE32" s="153"/>
    </row>
    <row r="33" spans="2:31" s="20" customFormat="1" ht="63.75" x14ac:dyDescent="0.2">
      <c r="B33" s="171" t="s">
        <v>168</v>
      </c>
      <c r="C33" s="171" t="s">
        <v>169</v>
      </c>
      <c r="D33" s="171" t="s">
        <v>51</v>
      </c>
      <c r="E33" s="43" t="s">
        <v>286</v>
      </c>
      <c r="F33" s="171" t="s">
        <v>49</v>
      </c>
      <c r="G33" s="171" t="s">
        <v>429</v>
      </c>
      <c r="H33" s="171" t="s">
        <v>0</v>
      </c>
      <c r="I33" s="171" t="s">
        <v>156</v>
      </c>
      <c r="J33" s="171" t="s">
        <v>1</v>
      </c>
      <c r="K33" s="171" t="s">
        <v>2</v>
      </c>
      <c r="L33" s="171" t="s">
        <v>3</v>
      </c>
      <c r="M33" s="43" t="s">
        <v>293</v>
      </c>
      <c r="N33" s="53" t="s">
        <v>70</v>
      </c>
      <c r="O33" s="53" t="s">
        <v>74</v>
      </c>
      <c r="P33" s="53" t="s">
        <v>75</v>
      </c>
      <c r="Q33" s="150" t="s">
        <v>171</v>
      </c>
      <c r="R33" s="43" t="s">
        <v>287</v>
      </c>
      <c r="S33" s="53" t="s">
        <v>430</v>
      </c>
      <c r="T33" s="53" t="s">
        <v>76</v>
      </c>
      <c r="U33" s="53" t="s">
        <v>157</v>
      </c>
      <c r="V33" s="53" t="s">
        <v>77</v>
      </c>
      <c r="W33" s="53" t="s">
        <v>79</v>
      </c>
      <c r="X33" s="53" t="s">
        <v>266</v>
      </c>
      <c r="Y33" s="150" t="s">
        <v>78</v>
      </c>
      <c r="Z33" s="150" t="s">
        <v>163</v>
      </c>
      <c r="AA33" s="150" t="s">
        <v>71</v>
      </c>
      <c r="AB33" s="172"/>
      <c r="AC33" s="173" t="s">
        <v>158</v>
      </c>
      <c r="AD33" s="173" t="s">
        <v>72</v>
      </c>
      <c r="AE33" s="173" t="s">
        <v>73</v>
      </c>
    </row>
    <row r="34" spans="2:31" ht="76.5" x14ac:dyDescent="0.2">
      <c r="B34" s="29">
        <v>1.4</v>
      </c>
      <c r="C34" s="23" t="s">
        <v>15</v>
      </c>
      <c r="D34" s="214" t="s">
        <v>147</v>
      </c>
      <c r="E34" s="174">
        <v>3</v>
      </c>
      <c r="F34" s="175">
        <f>IFERROR(VLOOKUP(tblRiskRegister19[[#This Row],[Asset Class]],tblVCDBIndex[],4,FALSE),"")</f>
        <v>1</v>
      </c>
      <c r="G34" s="175">
        <f>IFERROR(VLOOKUP(10*tblRiskRegister19[[#This Row],[Safeguard Maturity Score]]+tblRiskRegister19[[#This Row],[VCDB Index]],tblHITIndexWeightTable[],4,FALSE),"")</f>
        <v>2</v>
      </c>
      <c r="H34" s="175">
        <f>VLOOKUP(tblRiskRegister19[[#This Row],[Asset Class]],tblImpactIndex21[],2,FALSE)</f>
        <v>2</v>
      </c>
      <c r="I34" s="175">
        <f>VLOOKUP(tblRiskRegister19[[#This Row],[Asset Class]],tblImpactIndex21[],3,FALSE)</f>
        <v>2</v>
      </c>
      <c r="J34" s="175">
        <f>VLOOKUP(tblRiskRegister19[[#This Row],[Asset Class]],tblImpactIndex21[],4,FALSE)</f>
        <v>2</v>
      </c>
      <c r="K34" s="175">
        <f>IFERROR(MAX(tblRiskRegister19[[#This Row],[Impact to Mission]:[Impact to Obligations]])*tblRiskRegister19[[#This Row],[Expectancy Score]],"")</f>
        <v>4</v>
      </c>
      <c r="L34" s="175">
        <f>tblRiskRegister19[[#This Row],[Risk Score]]</f>
        <v>4</v>
      </c>
      <c r="M34" s="176" t="s">
        <v>268</v>
      </c>
      <c r="N34" s="29">
        <v>1.4</v>
      </c>
      <c r="O34" s="24" t="s">
        <v>15</v>
      </c>
      <c r="P34" s="24" t="s">
        <v>172</v>
      </c>
      <c r="Q34" s="30" t="s">
        <v>301</v>
      </c>
      <c r="R34" s="174">
        <v>4</v>
      </c>
      <c r="S34" s="177">
        <f>IFERROR(VLOOKUP(10*tblRiskRegister19[[#This Row],[Risk Treatment Safeguard Maturity Score]]+tblRiskRegister19[[#This Row],[VCDB Index]],tblHITIndexWeightTable[],4,FALSE),"")</f>
        <v>1</v>
      </c>
      <c r="T34" s="177">
        <f>VLOOKUP(tblRiskRegister19[[#This Row],[Asset Class]],tblImpactIndex21[],2,FALSE)</f>
        <v>2</v>
      </c>
      <c r="U34" s="177">
        <f>VLOOKUP(tblRiskRegister19[[#This Row],[Asset Class]],tblImpactIndex21[],3,FALSE)</f>
        <v>2</v>
      </c>
      <c r="V34" s="177">
        <f>VLOOKUP(tblRiskRegister19[[#This Row],[Asset Class]],tblImpactIndex21[],4,FALSE)</f>
        <v>2</v>
      </c>
      <c r="W34" s="177">
        <f>IFERROR(MAX(tblRiskRegister19[[#This Row],[Risk Treatment Safeguard Impact to Mission]:[Risk Treatment Safeguard Impact to Obligations]])*tblRiskRegister19[[#This Row],[Risk Treatment
Safeguard Expectancy Score]],"")</f>
        <v>2</v>
      </c>
      <c r="X34" s="178" t="str">
        <f>IF(tblRiskRegister19[[#This Row],[Risk Score]]&gt;5,IF(tblRiskRegister19[[#This Row],[Risk Treatment Safeguard Risk Score]]&lt;6, IF(tblRiskRegister19[[#This Row],[Risk Treatment Safeguard Risk Score]]&lt;=tblRiskRegister19[[#This Row],[Risk Score]],"Yes","No"),"No"),"Yes")</f>
        <v>Yes</v>
      </c>
      <c r="Y34" s="179"/>
      <c r="Z34" s="179" t="s">
        <v>164</v>
      </c>
      <c r="AA34" s="180">
        <v>2022</v>
      </c>
      <c r="AB34" s="153"/>
      <c r="AC34" s="181">
        <f>SUMIF(tblRiskRegister19[[#All],[Implementation Year]],"="&amp;tblCostImpacts20[[#This Row],[Year]],tblRiskRegister19[[#All],[Risk Treatment Safeguard Cost]])</f>
        <v>0</v>
      </c>
      <c r="AD34" s="166">
        <v>2021</v>
      </c>
      <c r="AE34" s="166" t="str">
        <f>IF(tblCostImpacts20[[#This Row],[Impact to Financial Objectives]]&lt;=$E$12,"Yes","No")</f>
        <v>Yes</v>
      </c>
    </row>
    <row r="35" spans="2:31" ht="51" x14ac:dyDescent="0.2">
      <c r="B35" s="29">
        <v>1.6</v>
      </c>
      <c r="C35" s="23" t="s">
        <v>16</v>
      </c>
      <c r="D35" s="214" t="s">
        <v>147</v>
      </c>
      <c r="E35" s="174">
        <v>3</v>
      </c>
      <c r="F35" s="175">
        <f>IFERROR(VLOOKUP(tblRiskRegister19[[#This Row],[Asset Class]],tblVCDBIndex[],4,FALSE),"")</f>
        <v>1</v>
      </c>
      <c r="G35" s="175">
        <f>IFERROR(VLOOKUP(10*tblRiskRegister19[[#This Row],[Safeguard Maturity Score]]+tblRiskRegister19[[#This Row],[VCDB Index]],tblHITIndexWeightTable[],4,FALSE),"")</f>
        <v>2</v>
      </c>
      <c r="H35" s="175">
        <f>VLOOKUP(tblRiskRegister19[[#This Row],[Asset Class]],tblImpactIndex21[],2,FALSE)</f>
        <v>2</v>
      </c>
      <c r="I35" s="175">
        <f>VLOOKUP(tblRiskRegister19[[#This Row],[Asset Class]],tblImpactIndex21[],3,FALSE)</f>
        <v>2</v>
      </c>
      <c r="J35" s="175">
        <f>VLOOKUP(tblRiskRegister19[[#This Row],[Asset Class]],tblImpactIndex21[],4,FALSE)</f>
        <v>2</v>
      </c>
      <c r="K35" s="175">
        <f>IFERROR(MAX(tblRiskRegister19[[#This Row],[Impact to Mission]:[Impact to Obligations]])*tblRiskRegister19[[#This Row],[Expectancy Score]],"")</f>
        <v>4</v>
      </c>
      <c r="L35" s="175">
        <f>tblRiskRegister19[[#This Row],[Risk Score]]</f>
        <v>4</v>
      </c>
      <c r="M35" s="176" t="s">
        <v>268</v>
      </c>
      <c r="N35" s="29">
        <v>1.6</v>
      </c>
      <c r="O35" s="24" t="s">
        <v>16</v>
      </c>
      <c r="P35" s="24" t="s">
        <v>421</v>
      </c>
      <c r="Q35" s="30" t="s">
        <v>301</v>
      </c>
      <c r="R35" s="174">
        <v>4</v>
      </c>
      <c r="S35" s="178">
        <f>IFERROR(VLOOKUP(10*tblRiskRegister19[[#This Row],[Risk Treatment Safeguard Maturity Score]]+tblRiskRegister19[[#This Row],[VCDB Index]],tblHITIndexWeightTable[],4,FALSE),"")</f>
        <v>1</v>
      </c>
      <c r="T35" s="178">
        <f>VLOOKUP(tblRiskRegister19[[#This Row],[Asset Class]],tblImpactIndex21[],2,FALSE)</f>
        <v>2</v>
      </c>
      <c r="U35" s="178">
        <f>VLOOKUP(tblRiskRegister19[[#This Row],[Asset Class]],tblImpactIndex21[],3,FALSE)</f>
        <v>2</v>
      </c>
      <c r="V35" s="178">
        <f>VLOOKUP(tblRiskRegister19[[#This Row],[Asset Class]],tblImpactIndex21[],4,FALSE)</f>
        <v>2</v>
      </c>
      <c r="W35" s="178">
        <f>IFERROR(MAX(tblRiskRegister19[[#This Row],[Risk Treatment Safeguard Impact to Mission]:[Risk Treatment Safeguard Impact to Obligations]])*tblRiskRegister19[[#This Row],[Risk Treatment
Safeguard Expectancy Score]],"")</f>
        <v>2</v>
      </c>
      <c r="X35" s="178" t="str">
        <f>IF(tblRiskRegister19[[#This Row],[Risk Score]]&gt;5,IF(tblRiskRegister19[[#This Row],[Risk Treatment Safeguard Risk Score]]&lt;6, IF(tblRiskRegister19[[#This Row],[Risk Treatment Safeguard Risk Score]]&lt;=tblRiskRegister19[[#This Row],[Risk Score]],"Yes","No"),"No"),"Yes")</f>
        <v>Yes</v>
      </c>
      <c r="Y35" s="179"/>
      <c r="Z35" s="179" t="s">
        <v>289</v>
      </c>
      <c r="AA35" s="180">
        <v>2022</v>
      </c>
      <c r="AB35" s="153"/>
      <c r="AC35" s="181">
        <f>SUMIF(tblRiskRegister19[[#All],[Implementation Year]],"="&amp;tblCostImpacts20[[#This Row],[Year]],tblRiskRegister19[[#All],[Risk Treatment Safeguard Cost]])</f>
        <v>0</v>
      </c>
      <c r="AD35" s="166">
        <v>2022</v>
      </c>
      <c r="AE35" s="166" t="str">
        <f>IF(tblCostImpacts20[[#This Row],[Impact to Financial Objectives]]&lt;=$E$12,"Yes","No")</f>
        <v>Yes</v>
      </c>
    </row>
    <row r="36" spans="2:31" ht="51" x14ac:dyDescent="0.2">
      <c r="B36" s="29">
        <v>2.1</v>
      </c>
      <c r="C36" s="23" t="s">
        <v>17</v>
      </c>
      <c r="D36" s="214" t="s">
        <v>148</v>
      </c>
      <c r="E36" s="174">
        <v>2</v>
      </c>
      <c r="F36" s="175">
        <f>IFERROR(VLOOKUP(tblRiskRegister19[[#This Row],[Asset Class]],tblVCDBIndex[],4,FALSE),"")</f>
        <v>2</v>
      </c>
      <c r="G36" s="175">
        <f>IFERROR(VLOOKUP(10*tblRiskRegister19[[#This Row],[Safeguard Maturity Score]]+tblRiskRegister19[[#This Row],[VCDB Index]],tblHITIndexWeightTable[],4,FALSE),"")</f>
        <v>2</v>
      </c>
      <c r="H36" s="175">
        <f>VLOOKUP(tblRiskRegister19[[#This Row],[Asset Class]],tblImpactIndex21[],2,FALSE)</f>
        <v>2</v>
      </c>
      <c r="I36" s="175">
        <f>VLOOKUP(tblRiskRegister19[[#This Row],[Asset Class]],tblImpactIndex21[],3,FALSE)</f>
        <v>2</v>
      </c>
      <c r="J36" s="175">
        <f>VLOOKUP(tblRiskRegister19[[#This Row],[Asset Class]],tblImpactIndex21[],4,FALSE)</f>
        <v>3</v>
      </c>
      <c r="K36" s="175">
        <f>IFERROR(MAX(tblRiskRegister19[[#This Row],[Impact to Mission]:[Impact to Obligations]])*tblRiskRegister19[[#This Row],[Expectancy Score]],"")</f>
        <v>6</v>
      </c>
      <c r="L36" s="175">
        <f>tblRiskRegister19[[#This Row],[Risk Score]]</f>
        <v>6</v>
      </c>
      <c r="M36" s="176" t="s">
        <v>268</v>
      </c>
      <c r="N36" s="29">
        <v>2.1</v>
      </c>
      <c r="O36" s="24" t="s">
        <v>17</v>
      </c>
      <c r="P36" s="24" t="s">
        <v>173</v>
      </c>
      <c r="Q36" s="30" t="s">
        <v>300</v>
      </c>
      <c r="R36" s="174">
        <v>4</v>
      </c>
      <c r="S36" s="178">
        <f>IFERROR(VLOOKUP(10*tblRiskRegister19[[#This Row],[Risk Treatment Safeguard Maturity Score]]+tblRiskRegister19[[#This Row],[VCDB Index]],tblHITIndexWeightTable[],4,FALSE),"")</f>
        <v>1</v>
      </c>
      <c r="T36" s="178">
        <f>VLOOKUP(tblRiskRegister19[[#This Row],[Asset Class]],tblImpactIndex21[],2,FALSE)</f>
        <v>2</v>
      </c>
      <c r="U36" s="178">
        <f>VLOOKUP(tblRiskRegister19[[#This Row],[Asset Class]],tblImpactIndex21[],3,FALSE)</f>
        <v>2</v>
      </c>
      <c r="V36" s="178">
        <f>VLOOKUP(tblRiskRegister19[[#This Row],[Asset Class]],tblImpactIndex21[],4,FALSE)</f>
        <v>3</v>
      </c>
      <c r="W36" s="178">
        <f>IFERROR(MAX(tblRiskRegister19[[#This Row],[Risk Treatment Safeguard Impact to Mission]:[Risk Treatment Safeguard Impact to Obligations]])*tblRiskRegister19[[#This Row],[Risk Treatment
Safeguard Expectancy Score]],"")</f>
        <v>3</v>
      </c>
      <c r="X36" s="178" t="str">
        <f>IF(tblRiskRegister19[[#This Row],[Risk Score]]&gt;5,IF(tblRiskRegister19[[#This Row],[Risk Treatment Safeguard Risk Score]]&lt;6, IF(tblRiskRegister19[[#This Row],[Risk Treatment Safeguard Risk Score]]&lt;=tblRiskRegister19[[#This Row],[Risk Score]],"Yes","No"),"No"),"Yes")</f>
        <v>Yes</v>
      </c>
      <c r="Y36" s="179"/>
      <c r="Z36" s="179" t="s">
        <v>290</v>
      </c>
      <c r="AA36" s="180">
        <v>2022</v>
      </c>
      <c r="AB36" s="153"/>
      <c r="AC36" s="181">
        <f>SUMIF(tblRiskRegister19[[#All],[Implementation Year]],"="&amp;tblCostImpacts20[[#This Row],[Year]],tblRiskRegister19[[#All],[Risk Treatment Safeguard Cost]])</f>
        <v>0</v>
      </c>
      <c r="AD36" s="166">
        <v>2023</v>
      </c>
      <c r="AE36" s="166" t="str">
        <f>IF(tblCostImpacts20[[#This Row],[Impact to Financial Objectives]]&lt;=$E$12,"Yes","No")</f>
        <v>Yes</v>
      </c>
    </row>
    <row r="37" spans="2:31" ht="89.25" x14ac:dyDescent="0.2">
      <c r="B37" s="29">
        <v>2.2000000000000002</v>
      </c>
      <c r="C37" s="23" t="s">
        <v>18</v>
      </c>
      <c r="D37" s="214" t="s">
        <v>148</v>
      </c>
      <c r="E37" s="174">
        <v>4</v>
      </c>
      <c r="F37" s="175">
        <f>IFERROR(VLOOKUP(tblRiskRegister19[[#This Row],[Asset Class]],tblVCDBIndex[],4,FALSE),"")</f>
        <v>2</v>
      </c>
      <c r="G37" s="175">
        <f>IFERROR(VLOOKUP(10*tblRiskRegister19[[#This Row],[Safeguard Maturity Score]]+tblRiskRegister19[[#This Row],[VCDB Index]],tblHITIndexWeightTable[],4,FALSE),"")</f>
        <v>1</v>
      </c>
      <c r="H37" s="175">
        <f>VLOOKUP(tblRiskRegister19[[#This Row],[Asset Class]],tblImpactIndex21[],2,FALSE)</f>
        <v>2</v>
      </c>
      <c r="I37" s="175">
        <f>VLOOKUP(tblRiskRegister19[[#This Row],[Asset Class]],tblImpactIndex21[],3,FALSE)</f>
        <v>2</v>
      </c>
      <c r="J37" s="175">
        <f>VLOOKUP(tblRiskRegister19[[#This Row],[Asset Class]],tblImpactIndex21[],4,FALSE)</f>
        <v>3</v>
      </c>
      <c r="K37" s="175">
        <f>IFERROR(MAX(tblRiskRegister19[[#This Row],[Impact to Mission]:[Impact to Obligations]])*tblRiskRegister19[[#This Row],[Expectancy Score]],"")</f>
        <v>3</v>
      </c>
      <c r="L37" s="175">
        <f>tblRiskRegister19[[#This Row],[Risk Score]]</f>
        <v>3</v>
      </c>
      <c r="M37" s="176" t="s">
        <v>269</v>
      </c>
      <c r="N37" s="29">
        <v>2.2000000000000002</v>
      </c>
      <c r="O37" s="24" t="s">
        <v>18</v>
      </c>
      <c r="P37" s="24" t="s">
        <v>174</v>
      </c>
      <c r="Q37" s="30"/>
      <c r="R37" s="174"/>
      <c r="S37" s="178" t="str">
        <f>IFERROR(VLOOKUP(10*tblRiskRegister19[[#This Row],[Risk Treatment Safeguard Maturity Score]]+tblRiskRegister19[[#This Row],[VCDB Index]],tblHITIndexWeightTable[],4,FALSE),"")</f>
        <v/>
      </c>
      <c r="T37" s="178">
        <f>VLOOKUP(tblRiskRegister19[[#This Row],[Asset Class]],tblImpactIndex21[],2,FALSE)</f>
        <v>2</v>
      </c>
      <c r="U37" s="178">
        <f>VLOOKUP(tblRiskRegister19[[#This Row],[Asset Class]],tblImpactIndex21[],3,FALSE)</f>
        <v>2</v>
      </c>
      <c r="V37" s="178">
        <f>VLOOKUP(tblRiskRegister19[[#This Row],[Asset Class]],tblImpactIndex21[],4,FALSE)</f>
        <v>3</v>
      </c>
      <c r="W37" s="178" t="str">
        <f>IFERROR(MAX(tblRiskRegister19[[#This Row],[Risk Treatment Safeguard Impact to Mission]:[Risk Treatment Safeguard Impact to Obligations]])*tblRiskRegister19[[#This Row],[Risk Treatment
Safeguard Expectancy Score]],"")</f>
        <v/>
      </c>
      <c r="X37" s="178" t="str">
        <f>IF(tblRiskRegister19[[#This Row],[Risk Score]]&gt;5,IF(tblRiskRegister19[[#This Row],[Risk Treatment Safeguard Risk Score]]&lt;6, IF(tblRiskRegister19[[#This Row],[Risk Treatment Safeguard Risk Score]]&lt;=tblRiskRegister19[[#This Row],[Risk Score]],"Yes","No"),"No"),"Yes")</f>
        <v>Yes</v>
      </c>
      <c r="Y37" s="179"/>
      <c r="Z37" s="179" t="s">
        <v>164</v>
      </c>
      <c r="AA37" s="180">
        <v>2022</v>
      </c>
      <c r="AB37" s="153"/>
      <c r="AC37" s="181">
        <f>SUMIF(tblRiskRegister19[[#All],[Implementation Year]],"="&amp;tblCostImpacts20[[#This Row],[Year]],tblRiskRegister19[[#All],[Risk Treatment Safeguard Cost]])</f>
        <v>0</v>
      </c>
      <c r="AD37" s="166">
        <v>2024</v>
      </c>
      <c r="AE37" s="166" t="str">
        <f>IF(tblCostImpacts20[[#This Row],[Impact to Financial Objectives]]&lt;=$E$12,"Yes","No")</f>
        <v>Yes</v>
      </c>
    </row>
    <row r="38" spans="2:31" ht="38.25" x14ac:dyDescent="0.2">
      <c r="B38" s="29">
        <v>2.6</v>
      </c>
      <c r="C38" s="23" t="s">
        <v>364</v>
      </c>
      <c r="D38" s="214" t="s">
        <v>148</v>
      </c>
      <c r="E38" s="174">
        <v>1</v>
      </c>
      <c r="F38" s="175">
        <f>IFERROR(VLOOKUP(tblRiskRegister19[[#This Row],[Asset Class]],tblVCDBIndex[],4,FALSE),"")</f>
        <v>2</v>
      </c>
      <c r="G38" s="175">
        <f>IFERROR(VLOOKUP(10*tblRiskRegister19[[#This Row],[Safeguard Maturity Score]]+tblRiskRegister19[[#This Row],[VCDB Index]],tblHITIndexWeightTable[],4,FALSE),"")</f>
        <v>3</v>
      </c>
      <c r="H38" s="175">
        <f>VLOOKUP(tblRiskRegister19[[#This Row],[Asset Class]],tblImpactIndex21[],2,FALSE)</f>
        <v>2</v>
      </c>
      <c r="I38" s="175">
        <f>VLOOKUP(tblRiskRegister19[[#This Row],[Asset Class]],tblImpactIndex21[],3,FALSE)</f>
        <v>2</v>
      </c>
      <c r="J38" s="175">
        <f>VLOOKUP(tblRiskRegister19[[#This Row],[Asset Class]],tblImpactIndex21[],4,FALSE)</f>
        <v>3</v>
      </c>
      <c r="K38" s="175">
        <f>IFERROR(MAX(tblRiskRegister19[[#This Row],[Impact to Mission]:[Impact to Obligations]])*tblRiskRegister19[[#This Row],[Expectancy Score]],"")</f>
        <v>9</v>
      </c>
      <c r="L38" s="175">
        <f>tblRiskRegister19[[#This Row],[Risk Score]]</f>
        <v>9</v>
      </c>
      <c r="M38" s="176" t="s">
        <v>268</v>
      </c>
      <c r="N38" s="29">
        <v>2.6</v>
      </c>
      <c r="O38" s="24" t="s">
        <v>364</v>
      </c>
      <c r="P38" s="24" t="s">
        <v>422</v>
      </c>
      <c r="Q38" s="30" t="s">
        <v>297</v>
      </c>
      <c r="R38" s="174">
        <v>4</v>
      </c>
      <c r="S38" s="178">
        <f>IFERROR(VLOOKUP(10*tblRiskRegister19[[#This Row],[Risk Treatment Safeguard Maturity Score]]+tblRiskRegister19[[#This Row],[VCDB Index]],tblHITIndexWeightTable[],4,FALSE),"")</f>
        <v>1</v>
      </c>
      <c r="T38" s="178">
        <f>VLOOKUP(tblRiskRegister19[[#This Row],[Asset Class]],tblImpactIndex21[],2,FALSE)</f>
        <v>2</v>
      </c>
      <c r="U38" s="178">
        <f>VLOOKUP(tblRiskRegister19[[#This Row],[Asset Class]],tblImpactIndex21[],3,FALSE)</f>
        <v>2</v>
      </c>
      <c r="V38" s="178">
        <f>VLOOKUP(tblRiskRegister19[[#This Row],[Asset Class]],tblImpactIndex21[],4,FALSE)</f>
        <v>3</v>
      </c>
      <c r="W38" s="178">
        <f>IFERROR(MAX(tblRiskRegister19[[#This Row],[Risk Treatment Safeguard Impact to Mission]:[Risk Treatment Safeguard Impact to Obligations]])*tblRiskRegister19[[#This Row],[Risk Treatment
Safeguard Expectancy Score]],"")</f>
        <v>3</v>
      </c>
      <c r="X38" s="178" t="str">
        <f>IF(tblRiskRegister19[[#This Row],[Risk Score]]&gt;5,IF(tblRiskRegister19[[#This Row],[Risk Treatment Safeguard Risk Score]]&lt;6, IF(tblRiskRegister19[[#This Row],[Risk Treatment Safeguard Risk Score]]&lt;=tblRiskRegister19[[#This Row],[Risk Score]],"Yes","No"),"No"),"Yes")</f>
        <v>Yes</v>
      </c>
      <c r="Y38" s="179"/>
      <c r="Z38" s="179" t="s">
        <v>291</v>
      </c>
      <c r="AA38" s="180">
        <v>2023</v>
      </c>
      <c r="AB38" s="153"/>
      <c r="AC38" s="181">
        <f>SUMIF(tblRiskRegister19[[#All],[Implementation Year]],"="&amp;tblCostImpacts20[[#This Row],[Year]],tblRiskRegister19[[#All],[Risk Treatment Safeguard Cost]])</f>
        <v>0</v>
      </c>
      <c r="AD38" s="166">
        <v>2025</v>
      </c>
      <c r="AE38" s="166" t="str">
        <f>IF(tblCostImpacts20[[#This Row],[Impact to Financial Objectives]]&lt;=$E$12,"Yes","No")</f>
        <v>Yes</v>
      </c>
    </row>
    <row r="39" spans="2:31" ht="63.75" x14ac:dyDescent="0.2">
      <c r="B39" s="29">
        <v>3.4</v>
      </c>
      <c r="C39" s="23" t="s">
        <v>19</v>
      </c>
      <c r="D39" s="214" t="s">
        <v>147</v>
      </c>
      <c r="E39" s="174">
        <v>4</v>
      </c>
      <c r="F39" s="175">
        <f>IFERROR(VLOOKUP(tblRiskRegister19[[#This Row],[Asset Class]],tblVCDBIndex[],4,FALSE),"")</f>
        <v>1</v>
      </c>
      <c r="G39" s="175">
        <f>IFERROR(VLOOKUP(10*tblRiskRegister19[[#This Row],[Safeguard Maturity Score]]+tblRiskRegister19[[#This Row],[VCDB Index]],tblHITIndexWeightTable[],4,FALSE),"")</f>
        <v>1</v>
      </c>
      <c r="H39" s="175">
        <f>VLOOKUP(tblRiskRegister19[[#This Row],[Asset Class]],tblImpactIndex21[],2,FALSE)</f>
        <v>2</v>
      </c>
      <c r="I39" s="175">
        <f>VLOOKUP(tblRiskRegister19[[#This Row],[Asset Class]],tblImpactIndex21[],3,FALSE)</f>
        <v>2</v>
      </c>
      <c r="J39" s="175">
        <f>VLOOKUP(tblRiskRegister19[[#This Row],[Asset Class]],tblImpactIndex21[],4,FALSE)</f>
        <v>2</v>
      </c>
      <c r="K39" s="175">
        <f>IFERROR(MAX(tblRiskRegister19[[#This Row],[Impact to Mission]:[Impact to Obligations]])*tblRiskRegister19[[#This Row],[Expectancy Score]],"")</f>
        <v>2</v>
      </c>
      <c r="L39" s="175">
        <f>tblRiskRegister19[[#This Row],[Risk Score]]</f>
        <v>2</v>
      </c>
      <c r="M39" s="176" t="s">
        <v>269</v>
      </c>
      <c r="N39" s="29">
        <v>3.4</v>
      </c>
      <c r="O39" s="24" t="s">
        <v>19</v>
      </c>
      <c r="P39" s="24" t="s">
        <v>175</v>
      </c>
      <c r="Q39" s="30"/>
      <c r="R39" s="174"/>
      <c r="S39" s="178" t="str">
        <f>IFERROR(VLOOKUP(10*tblRiskRegister19[[#This Row],[Risk Treatment Safeguard Maturity Score]]+tblRiskRegister19[[#This Row],[VCDB Index]],tblHITIndexWeightTable[],4,FALSE),"")</f>
        <v/>
      </c>
      <c r="T39" s="178">
        <f>VLOOKUP(tblRiskRegister19[[#This Row],[Asset Class]],tblImpactIndex21[],2,FALSE)</f>
        <v>2</v>
      </c>
      <c r="U39" s="178">
        <f>VLOOKUP(tblRiskRegister19[[#This Row],[Asset Class]],tblImpactIndex21[],3,FALSE)</f>
        <v>2</v>
      </c>
      <c r="V39" s="178">
        <f>VLOOKUP(tblRiskRegister19[[#This Row],[Asset Class]],tblImpactIndex21[],4,FALSE)</f>
        <v>2</v>
      </c>
      <c r="W39" s="178" t="str">
        <f>IFERROR(MAX(tblRiskRegister19[[#This Row],[Risk Treatment Safeguard Impact to Mission]:[Risk Treatment Safeguard Impact to Obligations]])*tblRiskRegister19[[#This Row],[Risk Treatment
Safeguard Expectancy Score]],"")</f>
        <v/>
      </c>
      <c r="X39" s="178" t="str">
        <f>IF(tblRiskRegister19[[#This Row],[Risk Score]]&gt;5,IF(tblRiskRegister19[[#This Row],[Risk Treatment Safeguard Risk Score]]&lt;6, IF(tblRiskRegister19[[#This Row],[Risk Treatment Safeguard Risk Score]]&lt;=tblRiskRegister19[[#This Row],[Risk Score]],"Yes","No"),"No"),"Yes")</f>
        <v>Yes</v>
      </c>
      <c r="Y39" s="179"/>
      <c r="Z39" s="179" t="s">
        <v>164</v>
      </c>
      <c r="AA39" s="180">
        <v>2023</v>
      </c>
      <c r="AB39" s="153"/>
      <c r="AC39" s="181">
        <f>SUMIF(tblRiskRegister19[[#All],[Implementation Year]],"="&amp;tblCostImpacts20[[#This Row],[Year]],tblRiskRegister19[[#All],[Risk Treatment Safeguard Cost]])</f>
        <v>0</v>
      </c>
      <c r="AD39" s="166">
        <v>2026</v>
      </c>
      <c r="AE39" s="166" t="str">
        <f>IF(tblCostImpacts20[[#This Row],[Impact to Financial Objectives]]&lt;=$E$12,"Yes","No")</f>
        <v>Yes</v>
      </c>
    </row>
    <row r="40" spans="2:31" ht="63.75" x14ac:dyDescent="0.2">
      <c r="B40" s="29">
        <v>3.5</v>
      </c>
      <c r="C40" s="23" t="s">
        <v>20</v>
      </c>
      <c r="D40" s="214" t="s">
        <v>147</v>
      </c>
      <c r="E40" s="174">
        <v>1</v>
      </c>
      <c r="F40" s="175">
        <f>IFERROR(VLOOKUP(tblRiskRegister19[[#This Row],[Asset Class]],tblVCDBIndex[],4,FALSE),"")</f>
        <v>1</v>
      </c>
      <c r="G40" s="175">
        <f>IFERROR(VLOOKUP(10*tblRiskRegister19[[#This Row],[Safeguard Maturity Score]]+tblRiskRegister19[[#This Row],[VCDB Index]],tblHITIndexWeightTable[],4,FALSE),"")</f>
        <v>2</v>
      </c>
      <c r="H40" s="175">
        <f>VLOOKUP(tblRiskRegister19[[#This Row],[Asset Class]],tblImpactIndex21[],2,FALSE)</f>
        <v>2</v>
      </c>
      <c r="I40" s="175">
        <f>VLOOKUP(tblRiskRegister19[[#This Row],[Asset Class]],tblImpactIndex21[],3,FALSE)</f>
        <v>2</v>
      </c>
      <c r="J40" s="175">
        <f>VLOOKUP(tblRiskRegister19[[#This Row],[Asset Class]],tblImpactIndex21[],4,FALSE)</f>
        <v>2</v>
      </c>
      <c r="K40" s="175">
        <f>IFERROR(MAX(tblRiskRegister19[[#This Row],[Impact to Mission]:[Impact to Obligations]])*tblRiskRegister19[[#This Row],[Expectancy Score]],"")</f>
        <v>4</v>
      </c>
      <c r="L40" s="175">
        <f>tblRiskRegister19[[#This Row],[Risk Score]]</f>
        <v>4</v>
      </c>
      <c r="M40" s="176" t="s">
        <v>268</v>
      </c>
      <c r="N40" s="29">
        <v>3.5</v>
      </c>
      <c r="O40" s="24" t="s">
        <v>20</v>
      </c>
      <c r="P40" s="24" t="s">
        <v>176</v>
      </c>
      <c r="Q40" s="30" t="s">
        <v>299</v>
      </c>
      <c r="R40" s="174">
        <v>4</v>
      </c>
      <c r="S40" s="178">
        <f>IFERROR(VLOOKUP(10*tblRiskRegister19[[#This Row],[Risk Treatment Safeguard Maturity Score]]+tblRiskRegister19[[#This Row],[VCDB Index]],tblHITIndexWeightTable[],4,FALSE),"")</f>
        <v>1</v>
      </c>
      <c r="T40" s="178">
        <f>VLOOKUP(tblRiskRegister19[[#This Row],[Asset Class]],tblImpactIndex21[],2,FALSE)</f>
        <v>2</v>
      </c>
      <c r="U40" s="178">
        <f>VLOOKUP(tblRiskRegister19[[#This Row],[Asset Class]],tblImpactIndex21[],3,FALSE)</f>
        <v>2</v>
      </c>
      <c r="V40" s="178">
        <f>VLOOKUP(tblRiskRegister19[[#This Row],[Asset Class]],tblImpactIndex21[],4,FALSE)</f>
        <v>2</v>
      </c>
      <c r="W40" s="178">
        <f>IFERROR(MAX(tblRiskRegister19[[#This Row],[Risk Treatment Safeguard Impact to Mission]:[Risk Treatment Safeguard Impact to Obligations]])*tblRiskRegister19[[#This Row],[Risk Treatment
Safeguard Expectancy Score]],"")</f>
        <v>2</v>
      </c>
      <c r="X40" s="178" t="str">
        <f>IF(tblRiskRegister19[[#This Row],[Risk Score]]&gt;5,IF(tblRiskRegister19[[#This Row],[Risk Treatment Safeguard Risk Score]]&lt;6, IF(tblRiskRegister19[[#This Row],[Risk Treatment Safeguard Risk Score]]&lt;=tblRiskRegister19[[#This Row],[Risk Score]],"Yes","No"),"No"),"Yes")</f>
        <v>Yes</v>
      </c>
      <c r="Y40" s="179"/>
      <c r="Z40" s="179" t="s">
        <v>290</v>
      </c>
      <c r="AA40" s="180">
        <v>2021</v>
      </c>
      <c r="AB40" s="153"/>
      <c r="AC40" s="181">
        <f>SUMIF(tblRiskRegister19[[#All],[Implementation Year]],"="&amp;tblCostImpacts20[[#This Row],[Year]],tblRiskRegister19[[#All],[Risk Treatment Safeguard Cost]])</f>
        <v>0</v>
      </c>
      <c r="AD40" s="166">
        <v>2027</v>
      </c>
      <c r="AE40" s="166" t="str">
        <f>IF(tblCostImpacts20[[#This Row],[Impact to Financial Objectives]]&lt;=$E$12,"Yes","No")</f>
        <v>Yes</v>
      </c>
    </row>
    <row r="41" spans="2:31" ht="51" x14ac:dyDescent="0.2">
      <c r="B41" s="29">
        <v>4.2</v>
      </c>
      <c r="C41" s="23" t="s">
        <v>21</v>
      </c>
      <c r="D41" s="214" t="s">
        <v>150</v>
      </c>
      <c r="E41" s="174">
        <v>3</v>
      </c>
      <c r="F41" s="175">
        <f>IFERROR(VLOOKUP(tblRiskRegister19[[#This Row],[Asset Class]],tblVCDBIndex[],4,FALSE),"")</f>
        <v>3</v>
      </c>
      <c r="G41" s="175">
        <f>IFERROR(VLOOKUP(10*tblRiskRegister19[[#This Row],[Safeguard Maturity Score]]+tblRiskRegister19[[#This Row],[VCDB Index]],tblHITIndexWeightTable[],4,FALSE),"")</f>
        <v>2</v>
      </c>
      <c r="H41" s="175">
        <f>VLOOKUP(tblRiskRegister19[[#This Row],[Asset Class]],tblImpactIndex21[],2,FALSE)</f>
        <v>2</v>
      </c>
      <c r="I41" s="175">
        <f>VLOOKUP(tblRiskRegister19[[#This Row],[Asset Class]],tblImpactIndex21[],3,FALSE)</f>
        <v>2</v>
      </c>
      <c r="J41" s="175">
        <f>VLOOKUP(tblRiskRegister19[[#This Row],[Asset Class]],tblImpactIndex21[],4,FALSE)</f>
        <v>3</v>
      </c>
      <c r="K41" s="175">
        <f>IFERROR(MAX(tblRiskRegister19[[#This Row],[Impact to Mission]:[Impact to Obligations]])*tblRiskRegister19[[#This Row],[Expectancy Score]],"")</f>
        <v>6</v>
      </c>
      <c r="L41" s="175">
        <f>tblRiskRegister19[[#This Row],[Risk Score]]</f>
        <v>6</v>
      </c>
      <c r="M41" s="176" t="s">
        <v>268</v>
      </c>
      <c r="N41" s="29">
        <v>4.2</v>
      </c>
      <c r="O41" s="24" t="s">
        <v>21</v>
      </c>
      <c r="P41" s="24" t="s">
        <v>177</v>
      </c>
      <c r="Q41" s="30" t="s">
        <v>298</v>
      </c>
      <c r="R41" s="174">
        <v>4</v>
      </c>
      <c r="S41" s="178">
        <f>IFERROR(VLOOKUP(10*tblRiskRegister19[[#This Row],[Risk Treatment Safeguard Maturity Score]]+tblRiskRegister19[[#This Row],[VCDB Index]],tblHITIndexWeightTable[],4,FALSE),"")</f>
        <v>2</v>
      </c>
      <c r="T41" s="178">
        <f>VLOOKUP(tblRiskRegister19[[#This Row],[Asset Class]],tblImpactIndex21[],2,FALSE)</f>
        <v>2</v>
      </c>
      <c r="U41" s="178">
        <f>VLOOKUP(tblRiskRegister19[[#This Row],[Asset Class]],tblImpactIndex21[],3,FALSE)</f>
        <v>2</v>
      </c>
      <c r="V41" s="178">
        <f>VLOOKUP(tblRiskRegister19[[#This Row],[Asset Class]],tblImpactIndex21[],4,FALSE)</f>
        <v>3</v>
      </c>
      <c r="W41" s="178">
        <f>IFERROR(MAX(tblRiskRegister19[[#This Row],[Risk Treatment Safeguard Impact to Mission]:[Risk Treatment Safeguard Impact to Obligations]])*tblRiskRegister19[[#This Row],[Risk Treatment
Safeguard Expectancy Score]],"")</f>
        <v>6</v>
      </c>
      <c r="X41" s="178" t="str">
        <f>IF(tblRiskRegister19[[#This Row],[Risk Score]]&gt;5,IF(tblRiskRegister19[[#This Row],[Risk Treatment Safeguard Risk Score]]&lt;6, IF(tblRiskRegister19[[#This Row],[Risk Treatment Safeguard Risk Score]]&lt;=tblRiskRegister19[[#This Row],[Risk Score]],"Yes","No"),"No"),"Yes")</f>
        <v>No</v>
      </c>
      <c r="Y41" s="179"/>
      <c r="Z41" s="179" t="s">
        <v>290</v>
      </c>
      <c r="AA41" s="180">
        <v>2021</v>
      </c>
      <c r="AB41" s="153"/>
      <c r="AC41" s="181">
        <f>SUMIF(tblRiskRegister19[[#All],[Implementation Year]],"="&amp;tblCostImpacts20[[#This Row],[Year]],tblRiskRegister19[[#All],[Risk Treatment Safeguard Cost]])</f>
        <v>0</v>
      </c>
      <c r="AD41" s="166">
        <v>2028</v>
      </c>
      <c r="AE41" s="166" t="str">
        <f>IF(tblCostImpacts20[[#This Row],[Impact to Financial Objectives]]&lt;=$E$12,"Yes","No")</f>
        <v>Yes</v>
      </c>
    </row>
    <row r="42" spans="2:31" ht="89.25" x14ac:dyDescent="0.2">
      <c r="B42" s="29">
        <v>4.3</v>
      </c>
      <c r="C42" s="23" t="s">
        <v>22</v>
      </c>
      <c r="D42" s="214" t="s">
        <v>150</v>
      </c>
      <c r="E42" s="174">
        <v>4</v>
      </c>
      <c r="F42" s="175">
        <f>IFERROR(VLOOKUP(tblRiskRegister19[[#This Row],[Asset Class]],tblVCDBIndex[],4,FALSE),"")</f>
        <v>3</v>
      </c>
      <c r="G42" s="175">
        <f>IFERROR(VLOOKUP(10*tblRiskRegister19[[#This Row],[Safeguard Maturity Score]]+tblRiskRegister19[[#This Row],[VCDB Index]],tblHITIndexWeightTable[],4,FALSE),"")</f>
        <v>2</v>
      </c>
      <c r="H42" s="175">
        <f>VLOOKUP(tblRiskRegister19[[#This Row],[Asset Class]],tblImpactIndex21[],2,FALSE)</f>
        <v>2</v>
      </c>
      <c r="I42" s="175">
        <f>VLOOKUP(tblRiskRegister19[[#This Row],[Asset Class]],tblImpactIndex21[],3,FALSE)</f>
        <v>2</v>
      </c>
      <c r="J42" s="175">
        <f>VLOOKUP(tblRiskRegister19[[#This Row],[Asset Class]],tblImpactIndex21[],4,FALSE)</f>
        <v>3</v>
      </c>
      <c r="K42" s="175">
        <f>IFERROR(MAX(tblRiskRegister19[[#This Row],[Impact to Mission]:[Impact to Obligations]])*tblRiskRegister19[[#This Row],[Expectancy Score]],"")</f>
        <v>6</v>
      </c>
      <c r="L42" s="175">
        <f>tblRiskRegister19[[#This Row],[Risk Score]]</f>
        <v>6</v>
      </c>
      <c r="M42" s="176" t="s">
        <v>268</v>
      </c>
      <c r="N42" s="29">
        <v>4.3</v>
      </c>
      <c r="O42" s="24" t="s">
        <v>22</v>
      </c>
      <c r="P42" s="24" t="s">
        <v>178</v>
      </c>
      <c r="Q42" s="174"/>
      <c r="R42" s="174">
        <v>4</v>
      </c>
      <c r="S42" s="178">
        <f>IFERROR(VLOOKUP(10*tblRiskRegister19[[#This Row],[Risk Treatment Safeguard Maturity Score]]+tblRiskRegister19[[#This Row],[VCDB Index]],tblHITIndexWeightTable[],4,FALSE),"")</f>
        <v>2</v>
      </c>
      <c r="T42" s="178">
        <f>VLOOKUP(tblRiskRegister19[[#This Row],[Asset Class]],tblImpactIndex21[],2,FALSE)</f>
        <v>2</v>
      </c>
      <c r="U42" s="178">
        <f>VLOOKUP(tblRiskRegister19[[#This Row],[Asset Class]],tblImpactIndex21[],3,FALSE)</f>
        <v>2</v>
      </c>
      <c r="V42" s="178">
        <f>VLOOKUP(tblRiskRegister19[[#This Row],[Asset Class]],tblImpactIndex21[],4,FALSE)</f>
        <v>3</v>
      </c>
      <c r="W42" s="178">
        <f>IFERROR(MAX(tblRiskRegister19[[#This Row],[Risk Treatment Safeguard Impact to Mission]:[Risk Treatment Safeguard Impact to Obligations]])*tblRiskRegister19[[#This Row],[Risk Treatment
Safeguard Expectancy Score]],"")</f>
        <v>6</v>
      </c>
      <c r="X42" s="178" t="str">
        <f>IF(tblRiskRegister19[[#This Row],[Risk Score]]&gt;5,IF(tblRiskRegister19[[#This Row],[Risk Treatment Safeguard Risk Score]]&lt;6, IF(tblRiskRegister19[[#This Row],[Risk Treatment Safeguard Risk Score]]&lt;=tblRiskRegister19[[#This Row],[Risk Score]],"Yes","No"),"No"),"Yes")</f>
        <v>No</v>
      </c>
      <c r="Y42" s="179"/>
      <c r="Z42" s="179"/>
      <c r="AA42" s="180"/>
      <c r="AB42" s="153"/>
      <c r="AC42" s="181">
        <f>SUMIF(tblRiskRegister19[[#All],[Implementation Year]],"="&amp;tblCostImpacts20[[#This Row],[Year]],tblRiskRegister19[[#All],[Risk Treatment Safeguard Cost]])</f>
        <v>0</v>
      </c>
      <c r="AD42" s="166">
        <v>2029</v>
      </c>
      <c r="AE42" s="166" t="str">
        <f>IF(tblCostImpacts20[[#This Row],[Impact to Financial Objectives]]&lt;=$E$12,"Yes","No")</f>
        <v>Yes</v>
      </c>
    </row>
    <row r="43" spans="2:31" ht="51" x14ac:dyDescent="0.2">
      <c r="B43" s="29">
        <v>5.0999999999999996</v>
      </c>
      <c r="C43" s="23" t="s">
        <v>24</v>
      </c>
      <c r="D43" s="214" t="s">
        <v>147</v>
      </c>
      <c r="E43" s="174">
        <v>5</v>
      </c>
      <c r="F43" s="175">
        <f>IFERROR(VLOOKUP(tblRiskRegister19[[#This Row],[Asset Class]],tblVCDBIndex[],4,FALSE),"")</f>
        <v>1</v>
      </c>
      <c r="G43" s="175">
        <f>IFERROR(VLOOKUP(10*tblRiskRegister19[[#This Row],[Safeguard Maturity Score]]+tblRiskRegister19[[#This Row],[VCDB Index]],tblHITIndexWeightTable[],4,FALSE),"")</f>
        <v>1</v>
      </c>
      <c r="H43" s="175">
        <f>VLOOKUP(tblRiskRegister19[[#This Row],[Asset Class]],tblImpactIndex21[],2,FALSE)</f>
        <v>2</v>
      </c>
      <c r="I43" s="175">
        <f>VLOOKUP(tblRiskRegister19[[#This Row],[Asset Class]],tblImpactIndex21[],3,FALSE)</f>
        <v>2</v>
      </c>
      <c r="J43" s="175">
        <f>VLOOKUP(tblRiskRegister19[[#This Row],[Asset Class]],tblImpactIndex21[],4,FALSE)</f>
        <v>2</v>
      </c>
      <c r="K43" s="175">
        <f>IFERROR(MAX(tblRiskRegister19[[#This Row],[Impact to Mission]:[Impact to Obligations]])*tblRiskRegister19[[#This Row],[Expectancy Score]],"")</f>
        <v>2</v>
      </c>
      <c r="L43" s="175">
        <f>tblRiskRegister19[[#This Row],[Risk Score]]</f>
        <v>2</v>
      </c>
      <c r="M43" s="176" t="s">
        <v>269</v>
      </c>
      <c r="N43" s="29"/>
      <c r="O43" s="24" t="s">
        <v>24</v>
      </c>
      <c r="P43" s="24" t="s">
        <v>179</v>
      </c>
      <c r="Q43" s="174"/>
      <c r="R43" s="174"/>
      <c r="S43" s="178" t="str">
        <f>IFERROR(VLOOKUP(10*tblRiskRegister19[[#This Row],[Risk Treatment Safeguard Maturity Score]]+tblRiskRegister19[[#This Row],[VCDB Index]],tblHITIndexWeightTable[],4,FALSE),"")</f>
        <v/>
      </c>
      <c r="T43" s="178">
        <f>VLOOKUP(tblRiskRegister19[[#This Row],[Asset Class]],tblImpactIndex21[],2,FALSE)</f>
        <v>2</v>
      </c>
      <c r="U43" s="178">
        <f>VLOOKUP(tblRiskRegister19[[#This Row],[Asset Class]],tblImpactIndex21[],3,FALSE)</f>
        <v>2</v>
      </c>
      <c r="V43" s="178">
        <f>VLOOKUP(tblRiskRegister19[[#This Row],[Asset Class]],tblImpactIndex21[],4,FALSE)</f>
        <v>2</v>
      </c>
      <c r="W43" s="178" t="str">
        <f>IFERROR(MAX(tblRiskRegister19[[#This Row],[Risk Treatment Safeguard Impact to Mission]:[Risk Treatment Safeguard Impact to Obligations]])*tblRiskRegister19[[#This Row],[Risk Treatment
Safeguard Expectancy Score]],"")</f>
        <v/>
      </c>
      <c r="X43" s="178" t="str">
        <f>IF(tblRiskRegister19[[#This Row],[Risk Score]]&gt;5,IF(tblRiskRegister19[[#This Row],[Risk Treatment Safeguard Risk Score]]&lt;6, IF(tblRiskRegister19[[#This Row],[Risk Treatment Safeguard Risk Score]]&lt;=tblRiskRegister19[[#This Row],[Risk Score]],"Yes","No"),"No"),"Yes")</f>
        <v>Yes</v>
      </c>
      <c r="Y43" s="179"/>
      <c r="Z43" s="179"/>
      <c r="AA43" s="180"/>
      <c r="AB43" s="153"/>
      <c r="AC43" s="181">
        <f>SUMIF(tblRiskRegister19[[#All],[Implementation Year]],"="&amp;tblCostImpacts20[[#This Row],[Year]],tblRiskRegister19[[#All],[Risk Treatment Safeguard Cost]])</f>
        <v>0</v>
      </c>
      <c r="AD43" s="166">
        <v>2030</v>
      </c>
      <c r="AE43" s="166" t="str">
        <f>IF(tblCostImpacts20[[#This Row],[Impact to Financial Objectives]]&lt;=$E$12,"Yes","No")</f>
        <v>Yes</v>
      </c>
    </row>
    <row r="44" spans="2:31" ht="38.25" x14ac:dyDescent="0.2">
      <c r="B44" s="29">
        <v>6.2</v>
      </c>
      <c r="C44" s="23" t="s">
        <v>82</v>
      </c>
      <c r="D44" s="214" t="s">
        <v>147</v>
      </c>
      <c r="E44" s="174">
        <v>2</v>
      </c>
      <c r="F44" s="175">
        <f>IFERROR(VLOOKUP(tblRiskRegister19[[#This Row],[Asset Class]],tblVCDBIndex[],4,FALSE),"")</f>
        <v>1</v>
      </c>
      <c r="G44" s="175">
        <f>IFERROR(VLOOKUP(10*tblRiskRegister19[[#This Row],[Safeguard Maturity Score]]+tblRiskRegister19[[#This Row],[VCDB Index]],tblHITIndexWeightTable[],4,FALSE),"")</f>
        <v>2</v>
      </c>
      <c r="H44" s="175">
        <f>VLOOKUP(tblRiskRegister19[[#This Row],[Asset Class]],tblImpactIndex21[],2,FALSE)</f>
        <v>2</v>
      </c>
      <c r="I44" s="175">
        <f>VLOOKUP(tblRiskRegister19[[#This Row],[Asset Class]],tblImpactIndex21[],3,FALSE)</f>
        <v>2</v>
      </c>
      <c r="J44" s="175">
        <f>VLOOKUP(tblRiskRegister19[[#This Row],[Asset Class]],tblImpactIndex21[],4,FALSE)</f>
        <v>2</v>
      </c>
      <c r="K44" s="175">
        <f>IFERROR(MAX(tblRiskRegister19[[#This Row],[Impact to Mission]:[Impact to Obligations]])*tblRiskRegister19[[#This Row],[Expectancy Score]],"")</f>
        <v>4</v>
      </c>
      <c r="L44" s="175">
        <f>tblRiskRegister19[[#This Row],[Risk Score]]</f>
        <v>4</v>
      </c>
      <c r="M44" s="176" t="s">
        <v>268</v>
      </c>
      <c r="N44" s="29">
        <v>6.2</v>
      </c>
      <c r="O44" s="24" t="s">
        <v>82</v>
      </c>
      <c r="P44" s="24" t="s">
        <v>180</v>
      </c>
      <c r="Q44" s="174"/>
      <c r="R44" s="174">
        <v>2</v>
      </c>
      <c r="S44" s="178">
        <f>IFERROR(VLOOKUP(10*tblRiskRegister19[[#This Row],[Risk Treatment Safeguard Maturity Score]]+tblRiskRegister19[[#This Row],[VCDB Index]],tblHITIndexWeightTable[],4,FALSE),"")</f>
        <v>2</v>
      </c>
      <c r="T44" s="178">
        <f>VLOOKUP(tblRiskRegister19[[#This Row],[Asset Class]],tblImpactIndex21[],2,FALSE)</f>
        <v>2</v>
      </c>
      <c r="U44" s="178">
        <f>VLOOKUP(tblRiskRegister19[[#This Row],[Asset Class]],tblImpactIndex21[],3,FALSE)</f>
        <v>2</v>
      </c>
      <c r="V44" s="178">
        <f>VLOOKUP(tblRiskRegister19[[#This Row],[Asset Class]],tblImpactIndex21[],4,FALSE)</f>
        <v>2</v>
      </c>
      <c r="W44" s="178">
        <f>IFERROR(MAX(tblRiskRegister19[[#This Row],[Risk Treatment Safeguard Impact to Mission]:[Risk Treatment Safeguard Impact to Obligations]])*tblRiskRegister19[[#This Row],[Risk Treatment
Safeguard Expectancy Score]],"")</f>
        <v>4</v>
      </c>
      <c r="X44" s="178" t="str">
        <f>IF(tblRiskRegister19[[#This Row],[Risk Score]]&gt;5,IF(tblRiskRegister19[[#This Row],[Risk Treatment Safeguard Risk Score]]&lt;6, IF(tblRiskRegister19[[#This Row],[Risk Treatment Safeguard Risk Score]]&lt;=tblRiskRegister19[[#This Row],[Risk Score]],"Yes","No"),"No"),"Yes")</f>
        <v>Yes</v>
      </c>
      <c r="Y44" s="179"/>
      <c r="Z44" s="179"/>
      <c r="AA44" s="180"/>
      <c r="AB44" s="153"/>
      <c r="AC44" s="153"/>
      <c r="AD44" s="153"/>
      <c r="AE44" s="153"/>
    </row>
    <row r="45" spans="2:31" ht="76.5" x14ac:dyDescent="0.2">
      <c r="B45" s="29">
        <v>7.1</v>
      </c>
      <c r="C45" s="23" t="s">
        <v>25</v>
      </c>
      <c r="D45" s="214" t="s">
        <v>147</v>
      </c>
      <c r="E45" s="174">
        <v>2</v>
      </c>
      <c r="F45" s="175">
        <f>IFERROR(VLOOKUP(tblRiskRegister19[[#This Row],[Asset Class]],tblVCDBIndex[],4,FALSE),"")</f>
        <v>1</v>
      </c>
      <c r="G45" s="175">
        <f>IFERROR(VLOOKUP(10*tblRiskRegister19[[#This Row],[Safeguard Maturity Score]]+tblRiskRegister19[[#This Row],[VCDB Index]],tblHITIndexWeightTable[],4,FALSE),"")</f>
        <v>2</v>
      </c>
      <c r="H45" s="175">
        <f>VLOOKUP(tblRiskRegister19[[#This Row],[Asset Class]],tblImpactIndex21[],2,FALSE)</f>
        <v>2</v>
      </c>
      <c r="I45" s="175">
        <f>VLOOKUP(tblRiskRegister19[[#This Row],[Asset Class]],tblImpactIndex21[],3,FALSE)</f>
        <v>2</v>
      </c>
      <c r="J45" s="175">
        <f>VLOOKUP(tblRiskRegister19[[#This Row],[Asset Class]],tblImpactIndex21[],4,FALSE)</f>
        <v>2</v>
      </c>
      <c r="K45" s="175">
        <f>IFERROR(MAX(tblRiskRegister19[[#This Row],[Impact to Mission]:[Impact to Obligations]])*tblRiskRegister19[[#This Row],[Expectancy Score]],"")</f>
        <v>4</v>
      </c>
      <c r="L45" s="175">
        <f>tblRiskRegister19[[#This Row],[Risk Score]]</f>
        <v>4</v>
      </c>
      <c r="M45" s="176" t="s">
        <v>268</v>
      </c>
      <c r="N45" s="29">
        <v>7.1</v>
      </c>
      <c r="O45" s="24" t="s">
        <v>25</v>
      </c>
      <c r="P45" s="24" t="s">
        <v>181</v>
      </c>
      <c r="Q45" s="174"/>
      <c r="R45" s="174">
        <v>2</v>
      </c>
      <c r="S45" s="178">
        <f>IFERROR(VLOOKUP(10*tblRiskRegister19[[#This Row],[Risk Treatment Safeguard Maturity Score]]+tblRiskRegister19[[#This Row],[VCDB Index]],tblHITIndexWeightTable[],4,FALSE),"")</f>
        <v>2</v>
      </c>
      <c r="T45" s="178">
        <f>VLOOKUP(tblRiskRegister19[[#This Row],[Asset Class]],tblImpactIndex21[],2,FALSE)</f>
        <v>2</v>
      </c>
      <c r="U45" s="178">
        <f>VLOOKUP(tblRiskRegister19[[#This Row],[Asset Class]],tblImpactIndex21[],3,FALSE)</f>
        <v>2</v>
      </c>
      <c r="V45" s="178">
        <f>VLOOKUP(tblRiskRegister19[[#This Row],[Asset Class]],tblImpactIndex21[],4,FALSE)</f>
        <v>2</v>
      </c>
      <c r="W45" s="178">
        <f>IFERROR(MAX(tblRiskRegister19[[#This Row],[Risk Treatment Safeguard Impact to Mission]:[Risk Treatment Safeguard Impact to Obligations]])*tblRiskRegister19[[#This Row],[Risk Treatment
Safeguard Expectancy Score]],"")</f>
        <v>4</v>
      </c>
      <c r="X45" s="178" t="str">
        <f>IF(tblRiskRegister19[[#This Row],[Risk Score]]&gt;5,IF(tblRiskRegister19[[#This Row],[Risk Treatment Safeguard Risk Score]]&lt;6, IF(tblRiskRegister19[[#This Row],[Risk Treatment Safeguard Risk Score]]&lt;=tblRiskRegister19[[#This Row],[Risk Score]],"Yes","No"),"No"),"Yes")</f>
        <v>Yes</v>
      </c>
      <c r="Y45" s="179"/>
      <c r="Z45" s="179"/>
      <c r="AA45" s="180"/>
      <c r="AB45" s="153"/>
      <c r="AC45" s="153"/>
      <c r="AD45" s="153"/>
      <c r="AE45" s="153"/>
    </row>
    <row r="46" spans="2:31" ht="25.5" x14ac:dyDescent="0.2">
      <c r="B46" s="29">
        <v>7.7</v>
      </c>
      <c r="C46" s="23" t="s">
        <v>26</v>
      </c>
      <c r="D46" s="214" t="s">
        <v>147</v>
      </c>
      <c r="E46" s="174">
        <v>1</v>
      </c>
      <c r="F46" s="175">
        <f>IFERROR(VLOOKUP(tblRiskRegister19[[#This Row],[Asset Class]],tblVCDBIndex[],4,FALSE),"")</f>
        <v>1</v>
      </c>
      <c r="G46" s="175">
        <f>IFERROR(VLOOKUP(10*tblRiskRegister19[[#This Row],[Safeguard Maturity Score]]+tblRiskRegister19[[#This Row],[VCDB Index]],tblHITIndexWeightTable[],4,FALSE),"")</f>
        <v>2</v>
      </c>
      <c r="H46" s="175">
        <f>VLOOKUP(tblRiskRegister19[[#This Row],[Asset Class]],tblImpactIndex21[],2,FALSE)</f>
        <v>2</v>
      </c>
      <c r="I46" s="175">
        <f>VLOOKUP(tblRiskRegister19[[#This Row],[Asset Class]],tblImpactIndex21[],3,FALSE)</f>
        <v>2</v>
      </c>
      <c r="J46" s="175">
        <f>VLOOKUP(tblRiskRegister19[[#This Row],[Asset Class]],tblImpactIndex21[],4,FALSE)</f>
        <v>2</v>
      </c>
      <c r="K46" s="175">
        <f>IFERROR(MAX(tblRiskRegister19[[#This Row],[Impact to Mission]:[Impact to Obligations]])*tblRiskRegister19[[#This Row],[Expectancy Score]],"")</f>
        <v>4</v>
      </c>
      <c r="L46" s="175">
        <f>tblRiskRegister19[[#This Row],[Risk Score]]</f>
        <v>4</v>
      </c>
      <c r="M46" s="176" t="s">
        <v>268</v>
      </c>
      <c r="N46" s="29">
        <v>7.7</v>
      </c>
      <c r="O46" s="24" t="s">
        <v>26</v>
      </c>
      <c r="P46" s="24" t="s">
        <v>182</v>
      </c>
      <c r="Q46" s="174"/>
      <c r="R46" s="174">
        <v>1</v>
      </c>
      <c r="S46" s="178">
        <f>IFERROR(VLOOKUP(10*tblRiskRegister19[[#This Row],[Risk Treatment Safeguard Maturity Score]]+tblRiskRegister19[[#This Row],[VCDB Index]],tblHITIndexWeightTable[],4,FALSE),"")</f>
        <v>2</v>
      </c>
      <c r="T46" s="178">
        <f>VLOOKUP(tblRiskRegister19[[#This Row],[Asset Class]],tblImpactIndex21[],2,FALSE)</f>
        <v>2</v>
      </c>
      <c r="U46" s="178">
        <f>VLOOKUP(tblRiskRegister19[[#This Row],[Asset Class]],tblImpactIndex21[],3,FALSE)</f>
        <v>2</v>
      </c>
      <c r="V46" s="178">
        <f>VLOOKUP(tblRiskRegister19[[#This Row],[Asset Class]],tblImpactIndex21[],4,FALSE)</f>
        <v>2</v>
      </c>
      <c r="W46" s="178">
        <f>IFERROR(MAX(tblRiskRegister19[[#This Row],[Risk Treatment Safeguard Impact to Mission]:[Risk Treatment Safeguard Impact to Obligations]])*tblRiskRegister19[[#This Row],[Risk Treatment
Safeguard Expectancy Score]],"")</f>
        <v>4</v>
      </c>
      <c r="X46" s="178" t="str">
        <f>IF(tblRiskRegister19[[#This Row],[Risk Score]]&gt;5,IF(tblRiskRegister19[[#This Row],[Risk Treatment Safeguard Risk Score]]&lt;6, IF(tblRiskRegister19[[#This Row],[Risk Treatment Safeguard Risk Score]]&lt;=tblRiskRegister19[[#This Row],[Risk Score]],"Yes","No"),"No"),"Yes")</f>
        <v>Yes</v>
      </c>
      <c r="Y46" s="179"/>
      <c r="Z46" s="179"/>
      <c r="AA46" s="180"/>
      <c r="AB46" s="153"/>
      <c r="AC46" s="153"/>
      <c r="AD46" s="153"/>
      <c r="AE46" s="153"/>
    </row>
    <row r="47" spans="2:31" ht="51" x14ac:dyDescent="0.2">
      <c r="B47" s="29">
        <v>8.1999999999999993</v>
      </c>
      <c r="C47" s="23" t="s">
        <v>83</v>
      </c>
      <c r="D47" s="214" t="s">
        <v>147</v>
      </c>
      <c r="E47" s="174">
        <v>2</v>
      </c>
      <c r="F47" s="175">
        <f>IFERROR(VLOOKUP(tblRiskRegister19[[#This Row],[Asset Class]],tblVCDBIndex[],4,FALSE),"")</f>
        <v>1</v>
      </c>
      <c r="G47" s="175">
        <f>IFERROR(VLOOKUP(10*tblRiskRegister19[[#This Row],[Safeguard Maturity Score]]+tblRiskRegister19[[#This Row],[VCDB Index]],tblHITIndexWeightTable[],4,FALSE),"")</f>
        <v>2</v>
      </c>
      <c r="H47" s="175">
        <f>VLOOKUP(tblRiskRegister19[[#This Row],[Asset Class]],tblImpactIndex21[],2,FALSE)</f>
        <v>2</v>
      </c>
      <c r="I47" s="175">
        <f>VLOOKUP(tblRiskRegister19[[#This Row],[Asset Class]],tblImpactIndex21[],3,FALSE)</f>
        <v>2</v>
      </c>
      <c r="J47" s="175">
        <f>VLOOKUP(tblRiskRegister19[[#This Row],[Asset Class]],tblImpactIndex21[],4,FALSE)</f>
        <v>2</v>
      </c>
      <c r="K47" s="175">
        <f>IFERROR(MAX(tblRiskRegister19[[#This Row],[Impact to Mission]:[Impact to Obligations]])*tblRiskRegister19[[#This Row],[Expectancy Score]],"")</f>
        <v>4</v>
      </c>
      <c r="L47" s="175">
        <f>tblRiskRegister19[[#This Row],[Risk Score]]</f>
        <v>4</v>
      </c>
      <c r="M47" s="176" t="s">
        <v>268</v>
      </c>
      <c r="N47" s="29">
        <v>8.1999999999999993</v>
      </c>
      <c r="O47" s="24" t="s">
        <v>83</v>
      </c>
      <c r="P47" s="24" t="s">
        <v>183</v>
      </c>
      <c r="Q47" s="174"/>
      <c r="R47" s="174">
        <v>2</v>
      </c>
      <c r="S47" s="178">
        <f>IFERROR(VLOOKUP(10*tblRiskRegister19[[#This Row],[Risk Treatment Safeguard Maturity Score]]+tblRiskRegister19[[#This Row],[VCDB Index]],tblHITIndexWeightTable[],4,FALSE),"")</f>
        <v>2</v>
      </c>
      <c r="T47" s="178">
        <f>VLOOKUP(tblRiskRegister19[[#This Row],[Asset Class]],tblImpactIndex21[],2,FALSE)</f>
        <v>2</v>
      </c>
      <c r="U47" s="178">
        <f>VLOOKUP(tblRiskRegister19[[#This Row],[Asset Class]],tblImpactIndex21[],3,FALSE)</f>
        <v>2</v>
      </c>
      <c r="V47" s="178">
        <f>VLOOKUP(tblRiskRegister19[[#This Row],[Asset Class]],tblImpactIndex21[],4,FALSE)</f>
        <v>2</v>
      </c>
      <c r="W47" s="178">
        <f>IFERROR(MAX(tblRiskRegister19[[#This Row],[Risk Treatment Safeguard Impact to Mission]:[Risk Treatment Safeguard Impact to Obligations]])*tblRiskRegister19[[#This Row],[Risk Treatment
Safeguard Expectancy Score]],"")</f>
        <v>4</v>
      </c>
      <c r="X47" s="178" t="str">
        <f>IF(tblRiskRegister19[[#This Row],[Risk Score]]&gt;5,IF(tblRiskRegister19[[#This Row],[Risk Treatment Safeguard Risk Score]]&lt;6, IF(tblRiskRegister19[[#This Row],[Risk Treatment Safeguard Risk Score]]&lt;=tblRiskRegister19[[#This Row],[Risk Score]],"Yes","No"),"No"),"Yes")</f>
        <v>Yes</v>
      </c>
      <c r="Y47" s="179"/>
      <c r="Z47" s="179"/>
      <c r="AA47" s="180"/>
      <c r="AB47" s="153"/>
      <c r="AC47" s="153"/>
      <c r="AD47" s="153"/>
      <c r="AE47" s="153"/>
    </row>
    <row r="48" spans="2:31" ht="51" x14ac:dyDescent="0.2">
      <c r="B48" s="29">
        <v>8.4</v>
      </c>
      <c r="C48" s="23" t="s">
        <v>27</v>
      </c>
      <c r="D48" s="214" t="s">
        <v>147</v>
      </c>
      <c r="E48" s="174">
        <v>4</v>
      </c>
      <c r="F48" s="175">
        <f>IFERROR(VLOOKUP(tblRiskRegister19[[#This Row],[Asset Class]],tblVCDBIndex[],4,FALSE),"")</f>
        <v>1</v>
      </c>
      <c r="G48" s="175">
        <f>IFERROR(VLOOKUP(10*tblRiskRegister19[[#This Row],[Safeguard Maturity Score]]+tblRiskRegister19[[#This Row],[VCDB Index]],tblHITIndexWeightTable[],4,FALSE),"")</f>
        <v>1</v>
      </c>
      <c r="H48" s="175">
        <f>VLOOKUP(tblRiskRegister19[[#This Row],[Asset Class]],tblImpactIndex21[],2,FALSE)</f>
        <v>2</v>
      </c>
      <c r="I48" s="175">
        <f>VLOOKUP(tblRiskRegister19[[#This Row],[Asset Class]],tblImpactIndex21[],3,FALSE)</f>
        <v>2</v>
      </c>
      <c r="J48" s="175">
        <f>VLOOKUP(tblRiskRegister19[[#This Row],[Asset Class]],tblImpactIndex21[],4,FALSE)</f>
        <v>2</v>
      </c>
      <c r="K48" s="175">
        <f>IFERROR(MAX(tblRiskRegister19[[#This Row],[Impact to Mission]:[Impact to Obligations]])*tblRiskRegister19[[#This Row],[Expectancy Score]],"")</f>
        <v>2</v>
      </c>
      <c r="L48" s="175">
        <f>tblRiskRegister19[[#This Row],[Risk Score]]</f>
        <v>2</v>
      </c>
      <c r="M48" s="176" t="s">
        <v>269</v>
      </c>
      <c r="N48" s="29"/>
      <c r="O48" s="24" t="s">
        <v>27</v>
      </c>
      <c r="P48" s="24" t="s">
        <v>184</v>
      </c>
      <c r="Q48" s="174"/>
      <c r="R48" s="174"/>
      <c r="S48" s="178" t="str">
        <f>IFERROR(VLOOKUP(10*tblRiskRegister19[[#This Row],[Risk Treatment Safeguard Maturity Score]]+tblRiskRegister19[[#This Row],[VCDB Index]],tblHITIndexWeightTable[],4,FALSE),"")</f>
        <v/>
      </c>
      <c r="T48" s="178">
        <f>VLOOKUP(tblRiskRegister19[[#This Row],[Asset Class]],tblImpactIndex21[],2,FALSE)</f>
        <v>2</v>
      </c>
      <c r="U48" s="178">
        <f>VLOOKUP(tblRiskRegister19[[#This Row],[Asset Class]],tblImpactIndex21[],3,FALSE)</f>
        <v>2</v>
      </c>
      <c r="V48" s="178">
        <f>VLOOKUP(tblRiskRegister19[[#This Row],[Asset Class]],tblImpactIndex21[],4,FALSE)</f>
        <v>2</v>
      </c>
      <c r="W48" s="178" t="str">
        <f>IFERROR(MAX(tblRiskRegister19[[#This Row],[Risk Treatment Safeguard Impact to Mission]:[Risk Treatment Safeguard Impact to Obligations]])*tblRiskRegister19[[#This Row],[Risk Treatment
Safeguard Expectancy Score]],"")</f>
        <v/>
      </c>
      <c r="X48" s="178" t="str">
        <f>IF(tblRiskRegister19[[#This Row],[Risk Score]]&gt;5,IF(tblRiskRegister19[[#This Row],[Risk Treatment Safeguard Risk Score]]&lt;6, IF(tblRiskRegister19[[#This Row],[Risk Treatment Safeguard Risk Score]]&lt;=tblRiskRegister19[[#This Row],[Risk Score]],"Yes","No"),"No"),"Yes")</f>
        <v>Yes</v>
      </c>
      <c r="Y48" s="179"/>
      <c r="Z48" s="179"/>
      <c r="AA48" s="180"/>
      <c r="AB48" s="153"/>
      <c r="AC48" s="153"/>
      <c r="AD48" s="153"/>
      <c r="AE48" s="153"/>
    </row>
    <row r="49" spans="2:31" ht="25.5" x14ac:dyDescent="0.2">
      <c r="B49" s="29">
        <v>8.5</v>
      </c>
      <c r="C49" s="23" t="s">
        <v>84</v>
      </c>
      <c r="D49" s="214" t="s">
        <v>147</v>
      </c>
      <c r="E49" s="174">
        <v>3</v>
      </c>
      <c r="F49" s="175">
        <f>IFERROR(VLOOKUP(tblRiskRegister19[[#This Row],[Asset Class]],tblVCDBIndex[],4,FALSE),"")</f>
        <v>1</v>
      </c>
      <c r="G49" s="175">
        <f>IFERROR(VLOOKUP(10*tblRiskRegister19[[#This Row],[Safeguard Maturity Score]]+tblRiskRegister19[[#This Row],[VCDB Index]],tblHITIndexWeightTable[],4,FALSE),"")</f>
        <v>2</v>
      </c>
      <c r="H49" s="175">
        <f>VLOOKUP(tblRiskRegister19[[#This Row],[Asset Class]],tblImpactIndex21[],2,FALSE)</f>
        <v>2</v>
      </c>
      <c r="I49" s="175">
        <f>VLOOKUP(tblRiskRegister19[[#This Row],[Asset Class]],tblImpactIndex21[],3,FALSE)</f>
        <v>2</v>
      </c>
      <c r="J49" s="175">
        <f>VLOOKUP(tblRiskRegister19[[#This Row],[Asset Class]],tblImpactIndex21[],4,FALSE)</f>
        <v>2</v>
      </c>
      <c r="K49" s="175">
        <f>IFERROR(MAX(tblRiskRegister19[[#This Row],[Impact to Mission]:[Impact to Obligations]])*tblRiskRegister19[[#This Row],[Expectancy Score]],"")</f>
        <v>4</v>
      </c>
      <c r="L49" s="175">
        <f>tblRiskRegister19[[#This Row],[Risk Score]]</f>
        <v>4</v>
      </c>
      <c r="M49" s="176" t="s">
        <v>268</v>
      </c>
      <c r="N49" s="29">
        <v>8.5</v>
      </c>
      <c r="O49" s="24" t="s">
        <v>84</v>
      </c>
      <c r="P49" s="24" t="s">
        <v>185</v>
      </c>
      <c r="Q49" s="174"/>
      <c r="R49" s="174">
        <v>3</v>
      </c>
      <c r="S49" s="178">
        <f>IFERROR(VLOOKUP(10*tblRiskRegister19[[#This Row],[Risk Treatment Safeguard Maturity Score]]+tblRiskRegister19[[#This Row],[VCDB Index]],tblHITIndexWeightTable[],4,FALSE),"")</f>
        <v>2</v>
      </c>
      <c r="T49" s="178">
        <f>VLOOKUP(tblRiskRegister19[[#This Row],[Asset Class]],tblImpactIndex21[],2,FALSE)</f>
        <v>2</v>
      </c>
      <c r="U49" s="178">
        <f>VLOOKUP(tblRiskRegister19[[#This Row],[Asset Class]],tblImpactIndex21[],3,FALSE)</f>
        <v>2</v>
      </c>
      <c r="V49" s="178">
        <f>VLOOKUP(tblRiskRegister19[[#This Row],[Asset Class]],tblImpactIndex21[],4,FALSE)</f>
        <v>2</v>
      </c>
      <c r="W49" s="178">
        <f>IFERROR(MAX(tblRiskRegister19[[#This Row],[Risk Treatment Safeguard Impact to Mission]:[Risk Treatment Safeguard Impact to Obligations]])*tblRiskRegister19[[#This Row],[Risk Treatment
Safeguard Expectancy Score]],"")</f>
        <v>4</v>
      </c>
      <c r="X49" s="178" t="str">
        <f>IF(tblRiskRegister19[[#This Row],[Risk Score]]&gt;5,IF(tblRiskRegister19[[#This Row],[Risk Treatment Safeguard Risk Score]]&lt;6, IF(tblRiskRegister19[[#This Row],[Risk Treatment Safeguard Risk Score]]&lt;=tblRiskRegister19[[#This Row],[Risk Score]],"Yes","No"),"No"),"Yes")</f>
        <v>Yes</v>
      </c>
      <c r="Y49" s="179"/>
      <c r="Z49" s="179"/>
      <c r="AA49" s="180"/>
      <c r="AB49" s="153"/>
      <c r="AC49" s="153"/>
      <c r="AD49" s="153"/>
      <c r="AE49" s="153"/>
    </row>
    <row r="50" spans="2:31" ht="63.75" x14ac:dyDescent="0.2">
      <c r="B50" s="29">
        <v>9.4</v>
      </c>
      <c r="C50" s="23" t="s">
        <v>85</v>
      </c>
      <c r="D50" s="214" t="s">
        <v>149</v>
      </c>
      <c r="E50" s="174">
        <v>3</v>
      </c>
      <c r="F50" s="175">
        <f>IFERROR(VLOOKUP(tblRiskRegister19[[#This Row],[Asset Class]],tblVCDBIndex[],4,FALSE),"")</f>
        <v>1</v>
      </c>
      <c r="G50" s="175">
        <f>IFERROR(VLOOKUP(10*tblRiskRegister19[[#This Row],[Safeguard Maturity Score]]+tblRiskRegister19[[#This Row],[VCDB Index]],tblHITIndexWeightTable[],4,FALSE),"")</f>
        <v>2</v>
      </c>
      <c r="H50" s="175">
        <f>VLOOKUP(tblRiskRegister19[[#This Row],[Asset Class]],tblImpactIndex21[],2,FALSE)</f>
        <v>1</v>
      </c>
      <c r="I50" s="175">
        <f>VLOOKUP(tblRiskRegister19[[#This Row],[Asset Class]],tblImpactIndex21[],3,FALSE)</f>
        <v>2</v>
      </c>
      <c r="J50" s="175">
        <f>VLOOKUP(tblRiskRegister19[[#This Row],[Asset Class]],tblImpactIndex21[],4,FALSE)</f>
        <v>2</v>
      </c>
      <c r="K50" s="175">
        <f>IFERROR(MAX(tblRiskRegister19[[#This Row],[Impact to Mission]:[Impact to Obligations]])*tblRiskRegister19[[#This Row],[Expectancy Score]],"")</f>
        <v>4</v>
      </c>
      <c r="L50" s="175">
        <f>tblRiskRegister19[[#This Row],[Risk Score]]</f>
        <v>4</v>
      </c>
      <c r="M50" s="176" t="s">
        <v>268</v>
      </c>
      <c r="N50" s="29">
        <v>9.4</v>
      </c>
      <c r="O50" s="24" t="s">
        <v>85</v>
      </c>
      <c r="P50" s="24" t="s">
        <v>186</v>
      </c>
      <c r="Q50" s="174"/>
      <c r="R50" s="174">
        <v>3</v>
      </c>
      <c r="S50" s="178">
        <f>IFERROR(VLOOKUP(10*tblRiskRegister19[[#This Row],[Risk Treatment Safeguard Maturity Score]]+tblRiskRegister19[[#This Row],[VCDB Index]],tblHITIndexWeightTable[],4,FALSE),"")</f>
        <v>2</v>
      </c>
      <c r="T50" s="178">
        <f>VLOOKUP(tblRiskRegister19[[#This Row],[Asset Class]],tblImpactIndex21[],2,FALSE)</f>
        <v>1</v>
      </c>
      <c r="U50" s="178">
        <f>VLOOKUP(tblRiskRegister19[[#This Row],[Asset Class]],tblImpactIndex21[],3,FALSE)</f>
        <v>2</v>
      </c>
      <c r="V50" s="178">
        <f>VLOOKUP(tblRiskRegister19[[#This Row],[Asset Class]],tblImpactIndex21[],4,FALSE)</f>
        <v>2</v>
      </c>
      <c r="W50" s="178">
        <f>IFERROR(MAX(tblRiskRegister19[[#This Row],[Risk Treatment Safeguard Impact to Mission]:[Risk Treatment Safeguard Impact to Obligations]])*tblRiskRegister19[[#This Row],[Risk Treatment
Safeguard Expectancy Score]],"")</f>
        <v>4</v>
      </c>
      <c r="X50" s="178" t="str">
        <f>IF(tblRiskRegister19[[#This Row],[Risk Score]]&gt;5,IF(tblRiskRegister19[[#This Row],[Risk Treatment Safeguard Risk Score]]&lt;6, IF(tblRiskRegister19[[#This Row],[Risk Treatment Safeguard Risk Score]]&lt;=tblRiskRegister19[[#This Row],[Risk Score]],"Yes","No"),"No"),"Yes")</f>
        <v>Yes</v>
      </c>
      <c r="Y50" s="179"/>
      <c r="Z50" s="179"/>
      <c r="AA50" s="180"/>
      <c r="AB50" s="153"/>
      <c r="AC50" s="153"/>
      <c r="AD50" s="153"/>
      <c r="AE50" s="153"/>
    </row>
    <row r="51" spans="2:31" ht="38.25" x14ac:dyDescent="0.2">
      <c r="B51" s="29">
        <v>10.1</v>
      </c>
      <c r="C51" s="23" t="s">
        <v>86</v>
      </c>
      <c r="D51" s="214" t="s">
        <v>146</v>
      </c>
      <c r="E51" s="174">
        <v>3</v>
      </c>
      <c r="F51" s="175">
        <f>IFERROR(VLOOKUP(tblRiskRegister19[[#This Row],[Asset Class]],tblVCDBIndex[],4,FALSE),"")</f>
        <v>3</v>
      </c>
      <c r="G51" s="175">
        <f>IFERROR(VLOOKUP(10*tblRiskRegister19[[#This Row],[Safeguard Maturity Score]]+tblRiskRegister19[[#This Row],[VCDB Index]],tblHITIndexWeightTable[],4,FALSE),"")</f>
        <v>2</v>
      </c>
      <c r="H51" s="175">
        <f>VLOOKUP(tblRiskRegister19[[#This Row],[Asset Class]],tblImpactIndex21[],2,FALSE)</f>
        <v>2</v>
      </c>
      <c r="I51" s="175">
        <f>VLOOKUP(tblRiskRegister19[[#This Row],[Asset Class]],tblImpactIndex21[],3,FALSE)</f>
        <v>2</v>
      </c>
      <c r="J51" s="175">
        <f>VLOOKUP(tblRiskRegister19[[#This Row],[Asset Class]],tblImpactIndex21[],4,FALSE)</f>
        <v>3</v>
      </c>
      <c r="K51" s="175">
        <f>IFERROR(MAX(tblRiskRegister19[[#This Row],[Impact to Mission]:[Impact to Obligations]])*tblRiskRegister19[[#This Row],[Expectancy Score]],"")</f>
        <v>6</v>
      </c>
      <c r="L51" s="175">
        <f>tblRiskRegister19[[#This Row],[Risk Score]]</f>
        <v>6</v>
      </c>
      <c r="M51" s="176" t="s">
        <v>268</v>
      </c>
      <c r="N51" s="29">
        <v>10.1</v>
      </c>
      <c r="O51" s="24" t="s">
        <v>86</v>
      </c>
      <c r="P51" s="24" t="s">
        <v>389</v>
      </c>
      <c r="Q51" s="174"/>
      <c r="R51" s="174">
        <v>3</v>
      </c>
      <c r="S51" s="178">
        <f>IFERROR(VLOOKUP(10*tblRiskRegister19[[#This Row],[Risk Treatment Safeguard Maturity Score]]+tblRiskRegister19[[#This Row],[VCDB Index]],tblHITIndexWeightTable[],4,FALSE),"")</f>
        <v>2</v>
      </c>
      <c r="T51" s="178">
        <f>VLOOKUP(tblRiskRegister19[[#This Row],[Asset Class]],tblImpactIndex21[],2,FALSE)</f>
        <v>2</v>
      </c>
      <c r="U51" s="178">
        <f>VLOOKUP(tblRiskRegister19[[#This Row],[Asset Class]],tblImpactIndex21[],3,FALSE)</f>
        <v>2</v>
      </c>
      <c r="V51" s="178">
        <f>VLOOKUP(tblRiskRegister19[[#This Row],[Asset Class]],tblImpactIndex21[],4,FALSE)</f>
        <v>3</v>
      </c>
      <c r="W51" s="178">
        <f>IFERROR(MAX(tblRiskRegister19[[#This Row],[Risk Treatment Safeguard Impact to Mission]:[Risk Treatment Safeguard Impact to Obligations]])*tblRiskRegister19[[#This Row],[Risk Treatment
Safeguard Expectancy Score]],"")</f>
        <v>6</v>
      </c>
      <c r="X51" s="178" t="str">
        <f>IF(tblRiskRegister19[[#This Row],[Risk Score]]&gt;5,IF(tblRiskRegister19[[#This Row],[Risk Treatment Safeguard Risk Score]]&lt;6, IF(tblRiskRegister19[[#This Row],[Risk Treatment Safeguard Risk Score]]&lt;=tblRiskRegister19[[#This Row],[Risk Score]],"Yes","No"),"No"),"Yes")</f>
        <v>No</v>
      </c>
      <c r="Y51" s="179"/>
      <c r="Z51" s="179"/>
      <c r="AA51" s="180"/>
      <c r="AB51" s="153"/>
      <c r="AC51" s="153"/>
      <c r="AD51" s="153"/>
      <c r="AE51" s="153"/>
    </row>
    <row r="52" spans="2:31" ht="63.75" x14ac:dyDescent="0.2">
      <c r="B52" s="29">
        <v>10.199999999999999</v>
      </c>
      <c r="C52" s="23" t="s">
        <v>28</v>
      </c>
      <c r="D52" s="214" t="s">
        <v>146</v>
      </c>
      <c r="E52" s="174">
        <v>1</v>
      </c>
      <c r="F52" s="175">
        <f>IFERROR(VLOOKUP(tblRiskRegister19[[#This Row],[Asset Class]],tblVCDBIndex[],4,FALSE),"")</f>
        <v>3</v>
      </c>
      <c r="G52" s="175">
        <f>IFERROR(VLOOKUP(10*tblRiskRegister19[[#This Row],[Safeguard Maturity Score]]+tblRiskRegister19[[#This Row],[VCDB Index]],tblHITIndexWeightTable[],4,FALSE),"")</f>
        <v>3</v>
      </c>
      <c r="H52" s="175">
        <f>VLOOKUP(tblRiskRegister19[[#This Row],[Asset Class]],tblImpactIndex21[],2,FALSE)</f>
        <v>2</v>
      </c>
      <c r="I52" s="175">
        <f>VLOOKUP(tblRiskRegister19[[#This Row],[Asset Class]],tblImpactIndex21[],3,FALSE)</f>
        <v>2</v>
      </c>
      <c r="J52" s="175">
        <f>VLOOKUP(tblRiskRegister19[[#This Row],[Asset Class]],tblImpactIndex21[],4,FALSE)</f>
        <v>3</v>
      </c>
      <c r="K52" s="175">
        <f>IFERROR(MAX(tblRiskRegister19[[#This Row],[Impact to Mission]:[Impact to Obligations]])*tblRiskRegister19[[#This Row],[Expectancy Score]],"")</f>
        <v>9</v>
      </c>
      <c r="L52" s="175">
        <f>tblRiskRegister19[[#This Row],[Risk Score]]</f>
        <v>9</v>
      </c>
      <c r="M52" s="176" t="s">
        <v>268</v>
      </c>
      <c r="N52" s="29">
        <v>10.199999999999999</v>
      </c>
      <c r="O52" s="24" t="s">
        <v>28</v>
      </c>
      <c r="P52" s="24" t="s">
        <v>187</v>
      </c>
      <c r="Q52" s="174"/>
      <c r="R52" s="174">
        <v>1</v>
      </c>
      <c r="S52" s="178">
        <f>IFERROR(VLOOKUP(10*tblRiskRegister19[[#This Row],[Risk Treatment Safeguard Maturity Score]]+tblRiskRegister19[[#This Row],[VCDB Index]],tblHITIndexWeightTable[],4,FALSE),"")</f>
        <v>3</v>
      </c>
      <c r="T52" s="178">
        <f>VLOOKUP(tblRiskRegister19[[#This Row],[Asset Class]],tblImpactIndex21[],2,FALSE)</f>
        <v>2</v>
      </c>
      <c r="U52" s="178">
        <f>VLOOKUP(tblRiskRegister19[[#This Row],[Asset Class]],tblImpactIndex21[],3,FALSE)</f>
        <v>2</v>
      </c>
      <c r="V52" s="178">
        <f>VLOOKUP(tblRiskRegister19[[#This Row],[Asset Class]],tblImpactIndex21[],4,FALSE)</f>
        <v>3</v>
      </c>
      <c r="W52" s="178">
        <f>IFERROR(MAX(tblRiskRegister19[[#This Row],[Risk Treatment Safeguard Impact to Mission]:[Risk Treatment Safeguard Impact to Obligations]])*tblRiskRegister19[[#This Row],[Risk Treatment
Safeguard Expectancy Score]],"")</f>
        <v>9</v>
      </c>
      <c r="X52" s="178" t="str">
        <f>IF(tblRiskRegister19[[#This Row],[Risk Score]]&gt;5,IF(tblRiskRegister19[[#This Row],[Risk Treatment Safeguard Risk Score]]&lt;6, IF(tblRiskRegister19[[#This Row],[Risk Treatment Safeguard Risk Score]]&lt;=tblRiskRegister19[[#This Row],[Risk Score]],"Yes","No"),"No"),"Yes")</f>
        <v>No</v>
      </c>
      <c r="Y52" s="179"/>
      <c r="Z52" s="179"/>
      <c r="AA52" s="180"/>
      <c r="AB52" s="153"/>
      <c r="AC52" s="153"/>
      <c r="AD52" s="153"/>
      <c r="AE52" s="153"/>
    </row>
    <row r="53" spans="2:31" ht="76.5" x14ac:dyDescent="0.2">
      <c r="B53" s="29">
        <v>10.4</v>
      </c>
      <c r="C53" s="23" t="s">
        <v>87</v>
      </c>
      <c r="D53" s="214" t="s">
        <v>146</v>
      </c>
      <c r="E53" s="174">
        <v>1</v>
      </c>
      <c r="F53" s="175">
        <f>IFERROR(VLOOKUP(tblRiskRegister19[[#This Row],[Asset Class]],tblVCDBIndex[],4,FALSE),"")</f>
        <v>3</v>
      </c>
      <c r="G53" s="175">
        <f>IFERROR(VLOOKUP(10*tblRiskRegister19[[#This Row],[Safeguard Maturity Score]]+tblRiskRegister19[[#This Row],[VCDB Index]],tblHITIndexWeightTable[],4,FALSE),"")</f>
        <v>3</v>
      </c>
      <c r="H53" s="175">
        <f>VLOOKUP(tblRiskRegister19[[#This Row],[Asset Class]],tblImpactIndex21[],2,FALSE)</f>
        <v>2</v>
      </c>
      <c r="I53" s="175">
        <f>VLOOKUP(tblRiskRegister19[[#This Row],[Asset Class]],tblImpactIndex21[],3,FALSE)</f>
        <v>2</v>
      </c>
      <c r="J53" s="175">
        <f>VLOOKUP(tblRiskRegister19[[#This Row],[Asset Class]],tblImpactIndex21[],4,FALSE)</f>
        <v>3</v>
      </c>
      <c r="K53" s="175">
        <f>IFERROR(MAX(tblRiskRegister19[[#This Row],[Impact to Mission]:[Impact to Obligations]])*tblRiskRegister19[[#This Row],[Expectancy Score]],"")</f>
        <v>9</v>
      </c>
      <c r="L53" s="175">
        <f>tblRiskRegister19[[#This Row],[Risk Score]]</f>
        <v>9</v>
      </c>
      <c r="M53" s="176" t="s">
        <v>268</v>
      </c>
      <c r="N53" s="29">
        <v>10.4</v>
      </c>
      <c r="O53" s="24" t="s">
        <v>87</v>
      </c>
      <c r="P53" s="24" t="s">
        <v>188</v>
      </c>
      <c r="Q53" s="174"/>
      <c r="R53" s="174">
        <v>1</v>
      </c>
      <c r="S53" s="178">
        <f>IFERROR(VLOOKUP(10*tblRiskRegister19[[#This Row],[Risk Treatment Safeguard Maturity Score]]+tblRiskRegister19[[#This Row],[VCDB Index]],tblHITIndexWeightTable[],4,FALSE),"")</f>
        <v>3</v>
      </c>
      <c r="T53" s="178">
        <f>VLOOKUP(tblRiskRegister19[[#This Row],[Asset Class]],tblImpactIndex21[],2,FALSE)</f>
        <v>2</v>
      </c>
      <c r="U53" s="178">
        <f>VLOOKUP(tblRiskRegister19[[#This Row],[Asset Class]],tblImpactIndex21[],3,FALSE)</f>
        <v>2</v>
      </c>
      <c r="V53" s="178">
        <f>VLOOKUP(tblRiskRegister19[[#This Row],[Asset Class]],tblImpactIndex21[],4,FALSE)</f>
        <v>3</v>
      </c>
      <c r="W53" s="178">
        <f>IFERROR(MAX(tblRiskRegister19[[#This Row],[Risk Treatment Safeguard Impact to Mission]:[Risk Treatment Safeguard Impact to Obligations]])*tblRiskRegister19[[#This Row],[Risk Treatment
Safeguard Expectancy Score]],"")</f>
        <v>9</v>
      </c>
      <c r="X53" s="178" t="str">
        <f>IF(tblRiskRegister19[[#This Row],[Risk Score]]&gt;5,IF(tblRiskRegister19[[#This Row],[Risk Treatment Safeguard Risk Score]]&lt;6, IF(tblRiskRegister19[[#This Row],[Risk Treatment Safeguard Risk Score]]&lt;=tblRiskRegister19[[#This Row],[Risk Score]],"Yes","No"),"No"),"Yes")</f>
        <v>No</v>
      </c>
      <c r="Y53" s="179"/>
      <c r="Z53" s="179"/>
      <c r="AA53" s="180"/>
      <c r="AB53" s="153"/>
      <c r="AC53" s="153"/>
      <c r="AD53" s="153"/>
      <c r="AE53" s="153"/>
    </row>
    <row r="54" spans="2:31" ht="51" x14ac:dyDescent="0.2">
      <c r="B54" s="29">
        <v>10.5</v>
      </c>
      <c r="C54" s="23" t="s">
        <v>88</v>
      </c>
      <c r="D54" s="214" t="s">
        <v>146</v>
      </c>
      <c r="E54" s="174">
        <v>2</v>
      </c>
      <c r="F54" s="175">
        <f>IFERROR(VLOOKUP(tblRiskRegister19[[#This Row],[Asset Class]],tblVCDBIndex[],4,FALSE),"")</f>
        <v>3</v>
      </c>
      <c r="G54" s="175">
        <f>IFERROR(VLOOKUP(10*tblRiskRegister19[[#This Row],[Safeguard Maturity Score]]+tblRiskRegister19[[#This Row],[VCDB Index]],tblHITIndexWeightTable[],4,FALSE),"")</f>
        <v>2</v>
      </c>
      <c r="H54" s="175">
        <f>VLOOKUP(tblRiskRegister19[[#This Row],[Asset Class]],tblImpactIndex21[],2,FALSE)</f>
        <v>2</v>
      </c>
      <c r="I54" s="175">
        <f>VLOOKUP(tblRiskRegister19[[#This Row],[Asset Class]],tblImpactIndex21[],3,FALSE)</f>
        <v>2</v>
      </c>
      <c r="J54" s="175">
        <f>VLOOKUP(tblRiskRegister19[[#This Row],[Asset Class]],tblImpactIndex21[],4,FALSE)</f>
        <v>3</v>
      </c>
      <c r="K54" s="175">
        <f>IFERROR(MAX(tblRiskRegister19[[#This Row],[Impact to Mission]:[Impact to Obligations]])*tblRiskRegister19[[#This Row],[Expectancy Score]],"")</f>
        <v>6</v>
      </c>
      <c r="L54" s="175">
        <f>tblRiskRegister19[[#This Row],[Risk Score]]</f>
        <v>6</v>
      </c>
      <c r="M54" s="176" t="s">
        <v>268</v>
      </c>
      <c r="N54" s="29">
        <v>10.5</v>
      </c>
      <c r="O54" s="24" t="s">
        <v>88</v>
      </c>
      <c r="P54" s="24" t="s">
        <v>189</v>
      </c>
      <c r="Q54" s="174"/>
      <c r="R54" s="174">
        <v>2</v>
      </c>
      <c r="S54" s="178">
        <f>IFERROR(VLOOKUP(10*tblRiskRegister19[[#This Row],[Risk Treatment Safeguard Maturity Score]]+tblRiskRegister19[[#This Row],[VCDB Index]],tblHITIndexWeightTable[],4,FALSE),"")</f>
        <v>2</v>
      </c>
      <c r="T54" s="178">
        <f>VLOOKUP(tblRiskRegister19[[#This Row],[Asset Class]],tblImpactIndex21[],2,FALSE)</f>
        <v>2</v>
      </c>
      <c r="U54" s="178">
        <f>VLOOKUP(tblRiskRegister19[[#This Row],[Asset Class]],tblImpactIndex21[],3,FALSE)</f>
        <v>2</v>
      </c>
      <c r="V54" s="178">
        <f>VLOOKUP(tblRiskRegister19[[#This Row],[Asset Class]],tblImpactIndex21[],4,FALSE)</f>
        <v>3</v>
      </c>
      <c r="W54" s="178">
        <f>IFERROR(MAX(tblRiskRegister19[[#This Row],[Risk Treatment Safeguard Impact to Mission]:[Risk Treatment Safeguard Impact to Obligations]])*tblRiskRegister19[[#This Row],[Risk Treatment
Safeguard Expectancy Score]],"")</f>
        <v>6</v>
      </c>
      <c r="X54" s="178" t="str">
        <f>IF(tblRiskRegister19[[#This Row],[Risk Score]]&gt;5,IF(tblRiskRegister19[[#This Row],[Risk Treatment Safeguard Risk Score]]&lt;6, IF(tblRiskRegister19[[#This Row],[Risk Treatment Safeguard Risk Score]]&lt;=tblRiskRegister19[[#This Row],[Risk Score]],"Yes","No"),"No"),"Yes")</f>
        <v>No</v>
      </c>
      <c r="Y54" s="179"/>
      <c r="Z54" s="179"/>
      <c r="AA54" s="180"/>
      <c r="AB54" s="153"/>
      <c r="AC54" s="153"/>
      <c r="AD54" s="153"/>
      <c r="AE54" s="153"/>
    </row>
    <row r="55" spans="2:31" ht="51" x14ac:dyDescent="0.2">
      <c r="B55" s="29">
        <v>11.4</v>
      </c>
      <c r="C55" s="23" t="s">
        <v>89</v>
      </c>
      <c r="D55" s="214" t="s">
        <v>149</v>
      </c>
      <c r="E55" s="174">
        <v>4</v>
      </c>
      <c r="F55" s="175">
        <f>IFERROR(VLOOKUP(tblRiskRegister19[[#This Row],[Asset Class]],tblVCDBIndex[],4,FALSE),"")</f>
        <v>1</v>
      </c>
      <c r="G55" s="175">
        <f>IFERROR(VLOOKUP(10*tblRiskRegister19[[#This Row],[Safeguard Maturity Score]]+tblRiskRegister19[[#This Row],[VCDB Index]],tblHITIndexWeightTable[],4,FALSE),"")</f>
        <v>1</v>
      </c>
      <c r="H55" s="175">
        <f>VLOOKUP(tblRiskRegister19[[#This Row],[Asset Class]],tblImpactIndex21[],2,FALSE)</f>
        <v>1</v>
      </c>
      <c r="I55" s="175">
        <f>VLOOKUP(tblRiskRegister19[[#This Row],[Asset Class]],tblImpactIndex21[],3,FALSE)</f>
        <v>2</v>
      </c>
      <c r="J55" s="175">
        <f>VLOOKUP(tblRiskRegister19[[#This Row],[Asset Class]],tblImpactIndex21[],4,FALSE)</f>
        <v>2</v>
      </c>
      <c r="K55" s="175">
        <f>IFERROR(MAX(tblRiskRegister19[[#This Row],[Impact to Mission]:[Impact to Obligations]])*tblRiskRegister19[[#This Row],[Expectancy Score]],"")</f>
        <v>2</v>
      </c>
      <c r="L55" s="175">
        <f>tblRiskRegister19[[#This Row],[Risk Score]]</f>
        <v>2</v>
      </c>
      <c r="M55" s="176" t="s">
        <v>269</v>
      </c>
      <c r="N55" s="29"/>
      <c r="O55" s="24" t="s">
        <v>89</v>
      </c>
      <c r="P55" s="24" t="s">
        <v>190</v>
      </c>
      <c r="Q55" s="174"/>
      <c r="R55" s="174"/>
      <c r="S55" s="178" t="str">
        <f>IFERROR(VLOOKUP(10*tblRiskRegister19[[#This Row],[Risk Treatment Safeguard Maturity Score]]+tblRiskRegister19[[#This Row],[VCDB Index]],tblHITIndexWeightTable[],4,FALSE),"")</f>
        <v/>
      </c>
      <c r="T55" s="178">
        <f>VLOOKUP(tblRiskRegister19[[#This Row],[Asset Class]],tblImpactIndex21[],2,FALSE)</f>
        <v>1</v>
      </c>
      <c r="U55" s="178">
        <f>VLOOKUP(tblRiskRegister19[[#This Row],[Asset Class]],tblImpactIndex21[],3,FALSE)</f>
        <v>2</v>
      </c>
      <c r="V55" s="178">
        <f>VLOOKUP(tblRiskRegister19[[#This Row],[Asset Class]],tblImpactIndex21[],4,FALSE)</f>
        <v>2</v>
      </c>
      <c r="W55" s="178" t="str">
        <f>IFERROR(MAX(tblRiskRegister19[[#This Row],[Risk Treatment Safeguard Impact to Mission]:[Risk Treatment Safeguard Impact to Obligations]])*tblRiskRegister19[[#This Row],[Risk Treatment
Safeguard Expectancy Score]],"")</f>
        <v/>
      </c>
      <c r="X55" s="178" t="str">
        <f>IF(tblRiskRegister19[[#This Row],[Risk Score]]&gt;5,IF(tblRiskRegister19[[#This Row],[Risk Treatment Safeguard Risk Score]]&lt;6, IF(tblRiskRegister19[[#This Row],[Risk Treatment Safeguard Risk Score]]&lt;=tblRiskRegister19[[#This Row],[Risk Score]],"Yes","No"),"No"),"Yes")</f>
        <v>Yes</v>
      </c>
      <c r="Y55" s="179"/>
      <c r="Z55" s="179"/>
      <c r="AA55" s="180"/>
      <c r="AB55" s="153"/>
      <c r="AC55" s="153"/>
      <c r="AD55" s="153"/>
      <c r="AE55" s="153"/>
    </row>
    <row r="56" spans="2:31" ht="25.5" x14ac:dyDescent="0.2">
      <c r="B56" s="29">
        <v>12.1</v>
      </c>
      <c r="C56" s="23" t="s">
        <v>29</v>
      </c>
      <c r="D56" s="214" t="s">
        <v>149</v>
      </c>
      <c r="E56" s="174">
        <v>1</v>
      </c>
      <c r="F56" s="175">
        <f>IFERROR(VLOOKUP(tblRiskRegister19[[#This Row],[Asset Class]],tblVCDBIndex[],4,FALSE),"")</f>
        <v>1</v>
      </c>
      <c r="G56" s="175">
        <f>IFERROR(VLOOKUP(10*tblRiskRegister19[[#This Row],[Safeguard Maturity Score]]+tblRiskRegister19[[#This Row],[VCDB Index]],tblHITIndexWeightTable[],4,FALSE),"")</f>
        <v>2</v>
      </c>
      <c r="H56" s="175">
        <f>VLOOKUP(tblRiskRegister19[[#This Row],[Asset Class]],tblImpactIndex21[],2,FALSE)</f>
        <v>1</v>
      </c>
      <c r="I56" s="175">
        <f>VLOOKUP(tblRiskRegister19[[#This Row],[Asset Class]],tblImpactIndex21[],3,FALSE)</f>
        <v>2</v>
      </c>
      <c r="J56" s="175">
        <f>VLOOKUP(tblRiskRegister19[[#This Row],[Asset Class]],tblImpactIndex21[],4,FALSE)</f>
        <v>2</v>
      </c>
      <c r="K56" s="175">
        <f>IFERROR(MAX(tblRiskRegister19[[#This Row],[Impact to Mission]:[Impact to Obligations]])*tblRiskRegister19[[#This Row],[Expectancy Score]],"")</f>
        <v>4</v>
      </c>
      <c r="L56" s="175">
        <f>tblRiskRegister19[[#This Row],[Risk Score]]</f>
        <v>4</v>
      </c>
      <c r="M56" s="176" t="s">
        <v>268</v>
      </c>
      <c r="N56" s="29">
        <v>12.1</v>
      </c>
      <c r="O56" s="24" t="s">
        <v>29</v>
      </c>
      <c r="P56" s="24" t="s">
        <v>191</v>
      </c>
      <c r="Q56" s="174"/>
      <c r="R56" s="174">
        <v>1</v>
      </c>
      <c r="S56" s="178">
        <f>IFERROR(VLOOKUP(10*tblRiskRegister19[[#This Row],[Risk Treatment Safeguard Maturity Score]]+tblRiskRegister19[[#This Row],[VCDB Index]],tblHITIndexWeightTable[],4,FALSE),"")</f>
        <v>2</v>
      </c>
      <c r="T56" s="178">
        <f>VLOOKUP(tblRiskRegister19[[#This Row],[Asset Class]],tblImpactIndex21[],2,FALSE)</f>
        <v>1</v>
      </c>
      <c r="U56" s="178">
        <f>VLOOKUP(tblRiskRegister19[[#This Row],[Asset Class]],tblImpactIndex21[],3,FALSE)</f>
        <v>2</v>
      </c>
      <c r="V56" s="178">
        <f>VLOOKUP(tblRiskRegister19[[#This Row],[Asset Class]],tblImpactIndex21[],4,FALSE)</f>
        <v>2</v>
      </c>
      <c r="W56" s="178">
        <f>IFERROR(MAX(tblRiskRegister19[[#This Row],[Risk Treatment Safeguard Impact to Mission]:[Risk Treatment Safeguard Impact to Obligations]])*tblRiskRegister19[[#This Row],[Risk Treatment
Safeguard Expectancy Score]],"")</f>
        <v>4</v>
      </c>
      <c r="X56" s="178" t="str">
        <f>IF(tblRiskRegister19[[#This Row],[Risk Score]]&gt;5,IF(tblRiskRegister19[[#This Row],[Risk Treatment Safeguard Risk Score]]&lt;6, IF(tblRiskRegister19[[#This Row],[Risk Treatment Safeguard Risk Score]]&lt;=tblRiskRegister19[[#This Row],[Risk Score]],"Yes","No"),"No"),"Yes")</f>
        <v>Yes</v>
      </c>
      <c r="Y56" s="179"/>
      <c r="Z56" s="179"/>
      <c r="AA56" s="180"/>
      <c r="AB56" s="153"/>
      <c r="AC56" s="153"/>
      <c r="AD56" s="153"/>
      <c r="AE56" s="153"/>
    </row>
    <row r="57" spans="2:31" ht="89.25" x14ac:dyDescent="0.2">
      <c r="B57" s="29">
        <v>12.4</v>
      </c>
      <c r="C57" s="23" t="s">
        <v>90</v>
      </c>
      <c r="D57" s="214" t="s">
        <v>149</v>
      </c>
      <c r="E57" s="174">
        <v>1</v>
      </c>
      <c r="F57" s="175">
        <f>IFERROR(VLOOKUP(tblRiskRegister19[[#This Row],[Asset Class]],tblVCDBIndex[],4,FALSE),"")</f>
        <v>1</v>
      </c>
      <c r="G57" s="175">
        <f>IFERROR(VLOOKUP(10*tblRiskRegister19[[#This Row],[Safeguard Maturity Score]]+tblRiskRegister19[[#This Row],[VCDB Index]],tblHITIndexWeightTable[],4,FALSE),"")</f>
        <v>2</v>
      </c>
      <c r="H57" s="175">
        <f>VLOOKUP(tblRiskRegister19[[#This Row],[Asset Class]],tblImpactIndex21[],2,FALSE)</f>
        <v>1</v>
      </c>
      <c r="I57" s="175">
        <f>VLOOKUP(tblRiskRegister19[[#This Row],[Asset Class]],tblImpactIndex21[],3,FALSE)</f>
        <v>2</v>
      </c>
      <c r="J57" s="175">
        <f>VLOOKUP(tblRiskRegister19[[#This Row],[Asset Class]],tblImpactIndex21[],4,FALSE)</f>
        <v>2</v>
      </c>
      <c r="K57" s="175">
        <f>IFERROR(MAX(tblRiskRegister19[[#This Row],[Impact to Mission]:[Impact to Obligations]])*tblRiskRegister19[[#This Row],[Expectancy Score]],"")</f>
        <v>4</v>
      </c>
      <c r="L57" s="175">
        <f>tblRiskRegister19[[#This Row],[Risk Score]]</f>
        <v>4</v>
      </c>
      <c r="M57" s="176" t="s">
        <v>268</v>
      </c>
      <c r="N57" s="29">
        <v>12.4</v>
      </c>
      <c r="O57" s="24" t="s">
        <v>90</v>
      </c>
      <c r="P57" s="24" t="s">
        <v>192</v>
      </c>
      <c r="Q57" s="174"/>
      <c r="R57" s="174">
        <v>1</v>
      </c>
      <c r="S57" s="178">
        <f>IFERROR(VLOOKUP(10*tblRiskRegister19[[#This Row],[Risk Treatment Safeguard Maturity Score]]+tblRiskRegister19[[#This Row],[VCDB Index]],tblHITIndexWeightTable[],4,FALSE),"")</f>
        <v>2</v>
      </c>
      <c r="T57" s="178">
        <f>VLOOKUP(tblRiskRegister19[[#This Row],[Asset Class]],tblImpactIndex21[],2,FALSE)</f>
        <v>1</v>
      </c>
      <c r="U57" s="178">
        <f>VLOOKUP(tblRiskRegister19[[#This Row],[Asset Class]],tblImpactIndex21[],3,FALSE)</f>
        <v>2</v>
      </c>
      <c r="V57" s="178">
        <f>VLOOKUP(tblRiskRegister19[[#This Row],[Asset Class]],tblImpactIndex21[],4,FALSE)</f>
        <v>2</v>
      </c>
      <c r="W57" s="178">
        <f>IFERROR(MAX(tblRiskRegister19[[#This Row],[Risk Treatment Safeguard Impact to Mission]:[Risk Treatment Safeguard Impact to Obligations]])*tblRiskRegister19[[#This Row],[Risk Treatment
Safeguard Expectancy Score]],"")</f>
        <v>4</v>
      </c>
      <c r="X57" s="178" t="str">
        <f>IF(tblRiskRegister19[[#This Row],[Risk Score]]&gt;5,IF(tblRiskRegister19[[#This Row],[Risk Treatment Safeguard Risk Score]]&lt;6, IF(tblRiskRegister19[[#This Row],[Risk Treatment Safeguard Risk Score]]&lt;=tblRiskRegister19[[#This Row],[Risk Score]],"Yes","No"),"No"),"Yes")</f>
        <v>Yes</v>
      </c>
      <c r="Y57" s="179"/>
      <c r="Z57" s="179"/>
      <c r="AA57" s="180"/>
      <c r="AB57" s="153"/>
      <c r="AC57" s="153"/>
      <c r="AD57" s="153"/>
      <c r="AE57" s="153"/>
    </row>
    <row r="58" spans="2:31" ht="76.5" x14ac:dyDescent="0.2">
      <c r="B58" s="29">
        <v>13.1</v>
      </c>
      <c r="C58" s="23" t="s">
        <v>91</v>
      </c>
      <c r="D58" s="214" t="s">
        <v>146</v>
      </c>
      <c r="E58" s="174">
        <v>1</v>
      </c>
      <c r="F58" s="175">
        <f>IFERROR(VLOOKUP(tblRiskRegister19[[#This Row],[Asset Class]],tblVCDBIndex[],4,FALSE),"")</f>
        <v>3</v>
      </c>
      <c r="G58" s="175">
        <f>IFERROR(VLOOKUP(10*tblRiskRegister19[[#This Row],[Safeguard Maturity Score]]+tblRiskRegister19[[#This Row],[VCDB Index]],tblHITIndexWeightTable[],4,FALSE),"")</f>
        <v>3</v>
      </c>
      <c r="H58" s="175">
        <f>VLOOKUP(tblRiskRegister19[[#This Row],[Asset Class]],tblImpactIndex21[],2,FALSE)</f>
        <v>2</v>
      </c>
      <c r="I58" s="175">
        <f>VLOOKUP(tblRiskRegister19[[#This Row],[Asset Class]],tblImpactIndex21[],3,FALSE)</f>
        <v>2</v>
      </c>
      <c r="J58" s="175">
        <f>VLOOKUP(tblRiskRegister19[[#This Row],[Asset Class]],tblImpactIndex21[],4,FALSE)</f>
        <v>3</v>
      </c>
      <c r="K58" s="175">
        <f>IFERROR(MAX(tblRiskRegister19[[#This Row],[Impact to Mission]:[Impact to Obligations]])*tblRiskRegister19[[#This Row],[Expectancy Score]],"")</f>
        <v>9</v>
      </c>
      <c r="L58" s="175">
        <f>tblRiskRegister19[[#This Row],[Risk Score]]</f>
        <v>9</v>
      </c>
      <c r="M58" s="176" t="s">
        <v>268</v>
      </c>
      <c r="N58" s="29">
        <v>13.1</v>
      </c>
      <c r="O58" s="24" t="s">
        <v>91</v>
      </c>
      <c r="P58" s="24" t="s">
        <v>193</v>
      </c>
      <c r="Q58" s="174"/>
      <c r="R58" s="174">
        <v>1</v>
      </c>
      <c r="S58" s="178">
        <f>IFERROR(VLOOKUP(10*tblRiskRegister19[[#This Row],[Risk Treatment Safeguard Maturity Score]]+tblRiskRegister19[[#This Row],[VCDB Index]],tblHITIndexWeightTable[],4,FALSE),"")</f>
        <v>3</v>
      </c>
      <c r="T58" s="178">
        <f>VLOOKUP(tblRiskRegister19[[#This Row],[Asset Class]],tblImpactIndex21[],2,FALSE)</f>
        <v>2</v>
      </c>
      <c r="U58" s="178">
        <f>VLOOKUP(tblRiskRegister19[[#This Row],[Asset Class]],tblImpactIndex21[],3,FALSE)</f>
        <v>2</v>
      </c>
      <c r="V58" s="178">
        <f>VLOOKUP(tblRiskRegister19[[#This Row],[Asset Class]],tblImpactIndex21[],4,FALSE)</f>
        <v>3</v>
      </c>
      <c r="W58" s="178">
        <f>IFERROR(MAX(tblRiskRegister19[[#This Row],[Risk Treatment Safeguard Impact to Mission]:[Risk Treatment Safeguard Impact to Obligations]])*tblRiskRegister19[[#This Row],[Risk Treatment
Safeguard Expectancy Score]],"")</f>
        <v>9</v>
      </c>
      <c r="X58" s="178" t="str">
        <f>IF(tblRiskRegister19[[#This Row],[Risk Score]]&gt;5,IF(tblRiskRegister19[[#This Row],[Risk Treatment Safeguard Risk Score]]&lt;6, IF(tblRiskRegister19[[#This Row],[Risk Treatment Safeguard Risk Score]]&lt;=tblRiskRegister19[[#This Row],[Risk Score]],"Yes","No"),"No"),"Yes")</f>
        <v>No</v>
      </c>
      <c r="Y58" s="179"/>
      <c r="Z58" s="179"/>
      <c r="AA58" s="180"/>
      <c r="AB58" s="153"/>
      <c r="AC58" s="153"/>
      <c r="AD58" s="153"/>
      <c r="AE58" s="153"/>
    </row>
    <row r="59" spans="2:31" ht="102" x14ac:dyDescent="0.2">
      <c r="B59" s="29">
        <v>13.2</v>
      </c>
      <c r="C59" s="23" t="s">
        <v>30</v>
      </c>
      <c r="D59" s="214" t="s">
        <v>146</v>
      </c>
      <c r="E59" s="174">
        <v>1</v>
      </c>
      <c r="F59" s="175">
        <f>IFERROR(VLOOKUP(tblRiskRegister19[[#This Row],[Asset Class]],tblVCDBIndex[],4,FALSE),"")</f>
        <v>3</v>
      </c>
      <c r="G59" s="175">
        <f>IFERROR(VLOOKUP(10*tblRiskRegister19[[#This Row],[Safeguard Maturity Score]]+tblRiskRegister19[[#This Row],[VCDB Index]],tblHITIndexWeightTable[],4,FALSE),"")</f>
        <v>3</v>
      </c>
      <c r="H59" s="175">
        <f>VLOOKUP(tblRiskRegister19[[#This Row],[Asset Class]],tblImpactIndex21[],2,FALSE)</f>
        <v>2</v>
      </c>
      <c r="I59" s="175">
        <f>VLOOKUP(tblRiskRegister19[[#This Row],[Asset Class]],tblImpactIndex21[],3,FALSE)</f>
        <v>2</v>
      </c>
      <c r="J59" s="175">
        <f>VLOOKUP(tblRiskRegister19[[#This Row],[Asset Class]],tblImpactIndex21[],4,FALSE)</f>
        <v>3</v>
      </c>
      <c r="K59" s="175">
        <f>IFERROR(MAX(tblRiskRegister19[[#This Row],[Impact to Mission]:[Impact to Obligations]])*tblRiskRegister19[[#This Row],[Expectancy Score]],"")</f>
        <v>9</v>
      </c>
      <c r="L59" s="175">
        <f>tblRiskRegister19[[#This Row],[Risk Score]]</f>
        <v>9</v>
      </c>
      <c r="M59" s="176" t="s">
        <v>268</v>
      </c>
      <c r="N59" s="29">
        <v>13.2</v>
      </c>
      <c r="O59" s="24" t="s">
        <v>30</v>
      </c>
      <c r="P59" s="24" t="s">
        <v>194</v>
      </c>
      <c r="Q59" s="174"/>
      <c r="R59" s="174">
        <v>1</v>
      </c>
      <c r="S59" s="178">
        <f>IFERROR(VLOOKUP(10*tblRiskRegister19[[#This Row],[Risk Treatment Safeguard Maturity Score]]+tblRiskRegister19[[#This Row],[VCDB Index]],tblHITIndexWeightTable[],4,FALSE),"")</f>
        <v>3</v>
      </c>
      <c r="T59" s="178">
        <f>VLOOKUP(tblRiskRegister19[[#This Row],[Asset Class]],tblImpactIndex21[],2,FALSE)</f>
        <v>2</v>
      </c>
      <c r="U59" s="178">
        <f>VLOOKUP(tblRiskRegister19[[#This Row],[Asset Class]],tblImpactIndex21[],3,FALSE)</f>
        <v>2</v>
      </c>
      <c r="V59" s="178">
        <f>VLOOKUP(tblRiskRegister19[[#This Row],[Asset Class]],tblImpactIndex21[],4,FALSE)</f>
        <v>3</v>
      </c>
      <c r="W59" s="178">
        <f>IFERROR(MAX(tblRiskRegister19[[#This Row],[Risk Treatment Safeguard Impact to Mission]:[Risk Treatment Safeguard Impact to Obligations]])*tblRiskRegister19[[#This Row],[Risk Treatment
Safeguard Expectancy Score]],"")</f>
        <v>9</v>
      </c>
      <c r="X59" s="178" t="str">
        <f>IF(tblRiskRegister19[[#This Row],[Risk Score]]&gt;5,IF(tblRiskRegister19[[#This Row],[Risk Treatment Safeguard Risk Score]]&lt;6, IF(tblRiskRegister19[[#This Row],[Risk Treatment Safeguard Risk Score]]&lt;=tblRiskRegister19[[#This Row],[Risk Score]],"Yes","No"),"No"),"Yes")</f>
        <v>No</v>
      </c>
      <c r="Y59" s="179"/>
      <c r="Z59" s="179"/>
      <c r="AA59" s="180"/>
      <c r="AB59" s="153"/>
      <c r="AC59" s="153"/>
      <c r="AD59" s="153"/>
      <c r="AE59" s="153"/>
    </row>
    <row r="60" spans="2:31" ht="38.25" x14ac:dyDescent="0.2">
      <c r="B60" s="29">
        <v>13.6</v>
      </c>
      <c r="C60" s="23" t="s">
        <v>92</v>
      </c>
      <c r="D60" s="214" t="s">
        <v>147</v>
      </c>
      <c r="E60" s="174">
        <v>2</v>
      </c>
      <c r="F60" s="175">
        <f>IFERROR(VLOOKUP(tblRiskRegister19[[#This Row],[Asset Class]],tblVCDBIndex[],4,FALSE),"")</f>
        <v>1</v>
      </c>
      <c r="G60" s="175">
        <f>IFERROR(VLOOKUP(10*tblRiskRegister19[[#This Row],[Safeguard Maturity Score]]+tblRiskRegister19[[#This Row],[VCDB Index]],tblHITIndexWeightTable[],4,FALSE),"")</f>
        <v>2</v>
      </c>
      <c r="H60" s="175">
        <f>VLOOKUP(tblRiskRegister19[[#This Row],[Asset Class]],tblImpactIndex21[],2,FALSE)</f>
        <v>2</v>
      </c>
      <c r="I60" s="175">
        <f>VLOOKUP(tblRiskRegister19[[#This Row],[Asset Class]],tblImpactIndex21[],3,FALSE)</f>
        <v>2</v>
      </c>
      <c r="J60" s="175">
        <f>VLOOKUP(tblRiskRegister19[[#This Row],[Asset Class]],tblImpactIndex21[],4,FALSE)</f>
        <v>2</v>
      </c>
      <c r="K60" s="175">
        <f>IFERROR(MAX(tblRiskRegister19[[#This Row],[Impact to Mission]:[Impact to Obligations]])*tblRiskRegister19[[#This Row],[Expectancy Score]],"")</f>
        <v>4</v>
      </c>
      <c r="L60" s="175">
        <f>tblRiskRegister19[[#This Row],[Risk Score]]</f>
        <v>4</v>
      </c>
      <c r="M60" s="176" t="s">
        <v>268</v>
      </c>
      <c r="N60" s="29">
        <v>13.6</v>
      </c>
      <c r="O60" s="24" t="s">
        <v>92</v>
      </c>
      <c r="P60" s="24" t="s">
        <v>195</v>
      </c>
      <c r="Q60" s="174"/>
      <c r="R60" s="174">
        <v>2</v>
      </c>
      <c r="S60" s="178">
        <f>IFERROR(VLOOKUP(10*tblRiskRegister19[[#This Row],[Risk Treatment Safeguard Maturity Score]]+tblRiskRegister19[[#This Row],[VCDB Index]],tblHITIndexWeightTable[],4,FALSE),"")</f>
        <v>2</v>
      </c>
      <c r="T60" s="178">
        <f>VLOOKUP(tblRiskRegister19[[#This Row],[Asset Class]],tblImpactIndex21[],2,FALSE)</f>
        <v>2</v>
      </c>
      <c r="U60" s="178">
        <f>VLOOKUP(tblRiskRegister19[[#This Row],[Asset Class]],tblImpactIndex21[],3,FALSE)</f>
        <v>2</v>
      </c>
      <c r="V60" s="178">
        <f>VLOOKUP(tblRiskRegister19[[#This Row],[Asset Class]],tblImpactIndex21[],4,FALSE)</f>
        <v>2</v>
      </c>
      <c r="W60" s="178">
        <f>IFERROR(MAX(tblRiskRegister19[[#This Row],[Risk Treatment Safeguard Impact to Mission]:[Risk Treatment Safeguard Impact to Obligations]])*tblRiskRegister19[[#This Row],[Risk Treatment
Safeguard Expectancy Score]],"")</f>
        <v>4</v>
      </c>
      <c r="X60" s="178" t="str">
        <f>IF(tblRiskRegister19[[#This Row],[Risk Score]]&gt;5,IF(tblRiskRegister19[[#This Row],[Risk Treatment Safeguard Risk Score]]&lt;6, IF(tblRiskRegister19[[#This Row],[Risk Treatment Safeguard Risk Score]]&lt;=tblRiskRegister19[[#This Row],[Risk Score]],"Yes","No"),"No"),"Yes")</f>
        <v>Yes</v>
      </c>
      <c r="Y60" s="179"/>
      <c r="Z60" s="179"/>
      <c r="AA60" s="180"/>
      <c r="AB60" s="153"/>
      <c r="AC60" s="153"/>
      <c r="AD60" s="153"/>
      <c r="AE60" s="153"/>
    </row>
    <row r="61" spans="2:31" ht="114.75" x14ac:dyDescent="0.2">
      <c r="B61" s="29">
        <v>14.6</v>
      </c>
      <c r="C61" s="23" t="s">
        <v>93</v>
      </c>
      <c r="D61" s="214" t="s">
        <v>146</v>
      </c>
      <c r="E61" s="174">
        <v>4</v>
      </c>
      <c r="F61" s="175">
        <f>IFERROR(VLOOKUP(tblRiskRegister19[[#This Row],[Asset Class]],tblVCDBIndex[],4,FALSE),"")</f>
        <v>3</v>
      </c>
      <c r="G61" s="175">
        <f>IFERROR(VLOOKUP(10*tblRiskRegister19[[#This Row],[Safeguard Maturity Score]]+tblRiskRegister19[[#This Row],[VCDB Index]],tblHITIndexWeightTable[],4,FALSE),"")</f>
        <v>2</v>
      </c>
      <c r="H61" s="175">
        <f>VLOOKUP(tblRiskRegister19[[#This Row],[Asset Class]],tblImpactIndex21[],2,FALSE)</f>
        <v>2</v>
      </c>
      <c r="I61" s="175">
        <f>VLOOKUP(tblRiskRegister19[[#This Row],[Asset Class]],tblImpactIndex21[],3,FALSE)</f>
        <v>2</v>
      </c>
      <c r="J61" s="175">
        <f>VLOOKUP(tblRiskRegister19[[#This Row],[Asset Class]],tblImpactIndex21[],4,FALSE)</f>
        <v>3</v>
      </c>
      <c r="K61" s="175">
        <f>IFERROR(MAX(tblRiskRegister19[[#This Row],[Impact to Mission]:[Impact to Obligations]])*tblRiskRegister19[[#This Row],[Expectancy Score]],"")</f>
        <v>6</v>
      </c>
      <c r="L61" s="175">
        <f>tblRiskRegister19[[#This Row],[Risk Score]]</f>
        <v>6</v>
      </c>
      <c r="M61" s="176" t="s">
        <v>269</v>
      </c>
      <c r="N61" s="29"/>
      <c r="O61" s="24" t="s">
        <v>93</v>
      </c>
      <c r="P61" s="24" t="s">
        <v>196</v>
      </c>
      <c r="Q61" s="174"/>
      <c r="R61" s="174"/>
      <c r="S61" s="178" t="str">
        <f>IFERROR(VLOOKUP(10*tblRiskRegister19[[#This Row],[Risk Treatment Safeguard Maturity Score]]+tblRiskRegister19[[#This Row],[VCDB Index]],tblHITIndexWeightTable[],4,FALSE),"")</f>
        <v/>
      </c>
      <c r="T61" s="178">
        <f>VLOOKUP(tblRiskRegister19[[#This Row],[Asset Class]],tblImpactIndex21[],2,FALSE)</f>
        <v>2</v>
      </c>
      <c r="U61" s="178">
        <f>VLOOKUP(tblRiskRegister19[[#This Row],[Asset Class]],tblImpactIndex21[],3,FALSE)</f>
        <v>2</v>
      </c>
      <c r="V61" s="178">
        <f>VLOOKUP(tblRiskRegister19[[#This Row],[Asset Class]],tblImpactIndex21[],4,FALSE)</f>
        <v>3</v>
      </c>
      <c r="W61" s="178" t="str">
        <f>IFERROR(MAX(tblRiskRegister19[[#This Row],[Risk Treatment Safeguard Impact to Mission]:[Risk Treatment Safeguard Impact to Obligations]])*tblRiskRegister19[[#This Row],[Risk Treatment
Safeguard Expectancy Score]],"")</f>
        <v/>
      </c>
      <c r="X61" s="178" t="str">
        <f>IF(tblRiskRegister19[[#This Row],[Risk Score]]&gt;5,IF(tblRiskRegister19[[#This Row],[Risk Treatment Safeguard Risk Score]]&lt;6, IF(tblRiskRegister19[[#This Row],[Risk Treatment Safeguard Risk Score]]&lt;=tblRiskRegister19[[#This Row],[Risk Score]],"Yes","No"),"No"),"Yes")</f>
        <v>No</v>
      </c>
      <c r="Y61" s="179"/>
      <c r="Z61" s="179"/>
      <c r="AA61" s="180"/>
      <c r="AB61" s="153"/>
      <c r="AC61" s="153"/>
      <c r="AD61" s="153"/>
      <c r="AE61" s="153"/>
    </row>
    <row r="62" spans="2:31" ht="51" x14ac:dyDescent="0.2">
      <c r="B62" s="29">
        <v>15.7</v>
      </c>
      <c r="C62" s="23" t="s">
        <v>31</v>
      </c>
      <c r="D62" s="214" t="s">
        <v>149</v>
      </c>
      <c r="E62" s="174">
        <v>3</v>
      </c>
      <c r="F62" s="175">
        <f>IFERROR(VLOOKUP(tblRiskRegister19[[#This Row],[Asset Class]],tblVCDBIndex[],4,FALSE),"")</f>
        <v>1</v>
      </c>
      <c r="G62" s="175">
        <f>IFERROR(VLOOKUP(10*tblRiskRegister19[[#This Row],[Safeguard Maturity Score]]+tblRiskRegister19[[#This Row],[VCDB Index]],tblHITIndexWeightTable[],4,FALSE),"")</f>
        <v>2</v>
      </c>
      <c r="H62" s="175">
        <f>VLOOKUP(tblRiskRegister19[[#This Row],[Asset Class]],tblImpactIndex21[],2,FALSE)</f>
        <v>1</v>
      </c>
      <c r="I62" s="175">
        <f>VLOOKUP(tblRiskRegister19[[#This Row],[Asset Class]],tblImpactIndex21[],3,FALSE)</f>
        <v>2</v>
      </c>
      <c r="J62" s="175">
        <f>VLOOKUP(tblRiskRegister19[[#This Row],[Asset Class]],tblImpactIndex21[],4,FALSE)</f>
        <v>2</v>
      </c>
      <c r="K62" s="175">
        <f>IFERROR(MAX(tblRiskRegister19[[#This Row],[Impact to Mission]:[Impact to Obligations]])*tblRiskRegister19[[#This Row],[Expectancy Score]],"")</f>
        <v>4</v>
      </c>
      <c r="L62" s="175">
        <f>tblRiskRegister19[[#This Row],[Risk Score]]</f>
        <v>4</v>
      </c>
      <c r="M62" s="176" t="s">
        <v>268</v>
      </c>
      <c r="N62" s="29">
        <v>15.7</v>
      </c>
      <c r="O62" s="24" t="s">
        <v>31</v>
      </c>
      <c r="P62" s="24" t="s">
        <v>198</v>
      </c>
      <c r="Q62" s="174"/>
      <c r="R62" s="174">
        <v>3</v>
      </c>
      <c r="S62" s="178">
        <f>IFERROR(VLOOKUP(10*tblRiskRegister19[[#This Row],[Risk Treatment Safeguard Maturity Score]]+tblRiskRegister19[[#This Row],[VCDB Index]],tblHITIndexWeightTable[],4,FALSE),"")</f>
        <v>2</v>
      </c>
      <c r="T62" s="178">
        <f>VLOOKUP(tblRiskRegister19[[#This Row],[Asset Class]],tblImpactIndex21[],2,FALSE)</f>
        <v>1</v>
      </c>
      <c r="U62" s="178">
        <f>VLOOKUP(tblRiskRegister19[[#This Row],[Asset Class]],tblImpactIndex21[],3,FALSE)</f>
        <v>2</v>
      </c>
      <c r="V62" s="178">
        <f>VLOOKUP(tblRiskRegister19[[#This Row],[Asset Class]],tblImpactIndex21[],4,FALSE)</f>
        <v>2</v>
      </c>
      <c r="W62" s="178">
        <f>IFERROR(MAX(tblRiskRegister19[[#This Row],[Risk Treatment Safeguard Impact to Mission]:[Risk Treatment Safeguard Impact to Obligations]])*tblRiskRegister19[[#This Row],[Risk Treatment
Safeguard Expectancy Score]],"")</f>
        <v>4</v>
      </c>
      <c r="X62" s="178" t="str">
        <f>IF(tblRiskRegister19[[#This Row],[Risk Score]]&gt;5,IF(tblRiskRegister19[[#This Row],[Risk Treatment Safeguard Risk Score]]&lt;6, IF(tblRiskRegister19[[#This Row],[Risk Treatment Safeguard Risk Score]]&lt;=tblRiskRegister19[[#This Row],[Risk Score]],"Yes","No"),"No"),"Yes")</f>
        <v>Yes</v>
      </c>
      <c r="Y62" s="179"/>
      <c r="Z62" s="179"/>
      <c r="AA62" s="180"/>
      <c r="AB62" s="153"/>
      <c r="AC62" s="153"/>
      <c r="AD62" s="153"/>
      <c r="AE62" s="153"/>
    </row>
    <row r="63" spans="2:31" ht="51" x14ac:dyDescent="0.2">
      <c r="B63" s="182">
        <v>15.1</v>
      </c>
      <c r="C63" s="23" t="s">
        <v>32</v>
      </c>
      <c r="D63" s="214" t="s">
        <v>149</v>
      </c>
      <c r="E63" s="174">
        <v>1</v>
      </c>
      <c r="F63" s="175">
        <f>IFERROR(VLOOKUP(tblRiskRegister19[[#This Row],[Asset Class]],tblVCDBIndex[],4,FALSE),"")</f>
        <v>1</v>
      </c>
      <c r="G63" s="175">
        <f>IFERROR(VLOOKUP(10*tblRiskRegister19[[#This Row],[Safeguard Maturity Score]]+tblRiskRegister19[[#This Row],[VCDB Index]],tblHITIndexWeightTable[],4,FALSE),"")</f>
        <v>2</v>
      </c>
      <c r="H63" s="175">
        <f>VLOOKUP(tblRiskRegister19[[#This Row],[Asset Class]],tblImpactIndex21[],2,FALSE)</f>
        <v>1</v>
      </c>
      <c r="I63" s="175">
        <f>VLOOKUP(tblRiskRegister19[[#This Row],[Asset Class]],tblImpactIndex21[],3,FALSE)</f>
        <v>2</v>
      </c>
      <c r="J63" s="175">
        <f>VLOOKUP(tblRiskRegister19[[#This Row],[Asset Class]],tblImpactIndex21[],4,FALSE)</f>
        <v>2</v>
      </c>
      <c r="K63" s="175">
        <f>IFERROR(MAX(tblRiskRegister19[[#This Row],[Impact to Mission]:[Impact to Obligations]])*tblRiskRegister19[[#This Row],[Expectancy Score]],"")</f>
        <v>4</v>
      </c>
      <c r="L63" s="175">
        <f>tblRiskRegister19[[#This Row],[Risk Score]]</f>
        <v>4</v>
      </c>
      <c r="M63" s="176" t="s">
        <v>268</v>
      </c>
      <c r="N63" s="182">
        <v>15.1</v>
      </c>
      <c r="O63" s="24" t="s">
        <v>32</v>
      </c>
      <c r="P63" s="24" t="s">
        <v>197</v>
      </c>
      <c r="Q63" s="174"/>
      <c r="R63" s="174">
        <v>1</v>
      </c>
      <c r="S63" s="178">
        <f>IFERROR(VLOOKUP(10*tblRiskRegister19[[#This Row],[Risk Treatment Safeguard Maturity Score]]+tblRiskRegister19[[#This Row],[VCDB Index]],tblHITIndexWeightTable[],4,FALSE),"")</f>
        <v>2</v>
      </c>
      <c r="T63" s="178">
        <f>VLOOKUP(tblRiskRegister19[[#This Row],[Asset Class]],tblImpactIndex21[],2,FALSE)</f>
        <v>1</v>
      </c>
      <c r="U63" s="178">
        <f>VLOOKUP(tblRiskRegister19[[#This Row],[Asset Class]],tblImpactIndex21[],3,FALSE)</f>
        <v>2</v>
      </c>
      <c r="V63" s="178">
        <f>VLOOKUP(tblRiskRegister19[[#This Row],[Asset Class]],tblImpactIndex21[],4,FALSE)</f>
        <v>2</v>
      </c>
      <c r="W63" s="178">
        <f>IFERROR(MAX(tblRiskRegister19[[#This Row],[Risk Treatment Safeguard Impact to Mission]:[Risk Treatment Safeguard Impact to Obligations]])*tblRiskRegister19[[#This Row],[Risk Treatment
Safeguard Expectancy Score]],"")</f>
        <v>4</v>
      </c>
      <c r="X63" s="178" t="str">
        <f>IF(tblRiskRegister19[[#This Row],[Risk Score]]&gt;5,IF(tblRiskRegister19[[#This Row],[Risk Treatment Safeguard Risk Score]]&lt;6, IF(tblRiskRegister19[[#This Row],[Risk Treatment Safeguard Risk Score]]&lt;=tblRiskRegister19[[#This Row],[Risk Score]],"Yes","No"),"No"),"Yes")</f>
        <v>Yes</v>
      </c>
      <c r="Y63" s="179"/>
      <c r="Z63" s="179"/>
      <c r="AA63" s="180"/>
      <c r="AB63" s="153"/>
      <c r="AC63" s="153"/>
      <c r="AD63" s="153"/>
      <c r="AE63" s="153"/>
    </row>
    <row r="64" spans="2:31" ht="38.25" x14ac:dyDescent="0.2">
      <c r="B64" s="29">
        <v>16.8</v>
      </c>
      <c r="C64" s="23" t="s">
        <v>33</v>
      </c>
      <c r="D64" s="214" t="s">
        <v>150</v>
      </c>
      <c r="E64" s="174">
        <v>2</v>
      </c>
      <c r="F64" s="175">
        <f>IFERROR(VLOOKUP(tblRiskRegister19[[#This Row],[Asset Class]],tblVCDBIndex[],4,FALSE),"")</f>
        <v>3</v>
      </c>
      <c r="G64" s="175">
        <f>IFERROR(VLOOKUP(10*tblRiskRegister19[[#This Row],[Safeguard Maturity Score]]+tblRiskRegister19[[#This Row],[VCDB Index]],tblHITIndexWeightTable[],4,FALSE),"")</f>
        <v>2</v>
      </c>
      <c r="H64" s="175">
        <f>VLOOKUP(tblRiskRegister19[[#This Row],[Asset Class]],tblImpactIndex21[],2,FALSE)</f>
        <v>2</v>
      </c>
      <c r="I64" s="175">
        <f>VLOOKUP(tblRiskRegister19[[#This Row],[Asset Class]],tblImpactIndex21[],3,FALSE)</f>
        <v>2</v>
      </c>
      <c r="J64" s="175">
        <f>VLOOKUP(tblRiskRegister19[[#This Row],[Asset Class]],tblImpactIndex21[],4,FALSE)</f>
        <v>3</v>
      </c>
      <c r="K64" s="175">
        <f>IFERROR(MAX(tblRiskRegister19[[#This Row],[Impact to Mission]:[Impact to Obligations]])*tblRiskRegister19[[#This Row],[Expectancy Score]],"")</f>
        <v>6</v>
      </c>
      <c r="L64" s="175">
        <f>tblRiskRegister19[[#This Row],[Risk Score]]</f>
        <v>6</v>
      </c>
      <c r="M64" s="176" t="s">
        <v>268</v>
      </c>
      <c r="N64" s="29">
        <v>16.8</v>
      </c>
      <c r="O64" s="24" t="s">
        <v>33</v>
      </c>
      <c r="P64" s="24" t="s">
        <v>199</v>
      </c>
      <c r="Q64" s="174"/>
      <c r="R64" s="174">
        <v>2</v>
      </c>
      <c r="S64" s="178">
        <f>IFERROR(VLOOKUP(10*tblRiskRegister19[[#This Row],[Risk Treatment Safeguard Maturity Score]]+tblRiskRegister19[[#This Row],[VCDB Index]],tblHITIndexWeightTable[],4,FALSE),"")</f>
        <v>2</v>
      </c>
      <c r="T64" s="178">
        <f>VLOOKUP(tblRiskRegister19[[#This Row],[Asset Class]],tblImpactIndex21[],2,FALSE)</f>
        <v>2</v>
      </c>
      <c r="U64" s="178">
        <f>VLOOKUP(tblRiskRegister19[[#This Row],[Asset Class]],tblImpactIndex21[],3,FALSE)</f>
        <v>2</v>
      </c>
      <c r="V64" s="178">
        <f>VLOOKUP(tblRiskRegister19[[#This Row],[Asset Class]],tblImpactIndex21[],4,FALSE)</f>
        <v>3</v>
      </c>
      <c r="W64" s="178">
        <f>IFERROR(MAX(tblRiskRegister19[[#This Row],[Risk Treatment Safeguard Impact to Mission]:[Risk Treatment Safeguard Impact to Obligations]])*tblRiskRegister19[[#This Row],[Risk Treatment
Safeguard Expectancy Score]],"")</f>
        <v>6</v>
      </c>
      <c r="X64" s="178" t="str">
        <f>IF(tblRiskRegister19[[#This Row],[Risk Score]]&gt;5,IF(tblRiskRegister19[[#This Row],[Risk Treatment Safeguard Risk Score]]&lt;6, IF(tblRiskRegister19[[#This Row],[Risk Treatment Safeguard Risk Score]]&lt;=tblRiskRegister19[[#This Row],[Risk Score]],"Yes","No"),"No"),"Yes")</f>
        <v>No</v>
      </c>
      <c r="Y64" s="179"/>
      <c r="Z64" s="179"/>
      <c r="AA64" s="180"/>
      <c r="AB64" s="153"/>
      <c r="AC64" s="153"/>
      <c r="AD64" s="153"/>
      <c r="AE64" s="153"/>
    </row>
    <row r="65" spans="2:31" ht="25.5" x14ac:dyDescent="0.2">
      <c r="B65" s="29">
        <v>16.899999999999999</v>
      </c>
      <c r="C65" s="23" t="s">
        <v>34</v>
      </c>
      <c r="D65" s="214" t="s">
        <v>150</v>
      </c>
      <c r="E65" s="174">
        <v>4</v>
      </c>
      <c r="F65" s="175">
        <f>IFERROR(VLOOKUP(tblRiskRegister19[[#This Row],[Asset Class]],tblVCDBIndex[],4,FALSE),"")</f>
        <v>3</v>
      </c>
      <c r="G65" s="175">
        <f>IFERROR(VLOOKUP(10*tblRiskRegister19[[#This Row],[Safeguard Maturity Score]]+tblRiskRegister19[[#This Row],[VCDB Index]],tblHITIndexWeightTable[],4,FALSE),"")</f>
        <v>2</v>
      </c>
      <c r="H65" s="175">
        <f>VLOOKUP(tblRiskRegister19[[#This Row],[Asset Class]],tblImpactIndex21[],2,FALSE)</f>
        <v>2</v>
      </c>
      <c r="I65" s="175">
        <f>VLOOKUP(tblRiskRegister19[[#This Row],[Asset Class]],tblImpactIndex21[],3,FALSE)</f>
        <v>2</v>
      </c>
      <c r="J65" s="175">
        <f>VLOOKUP(tblRiskRegister19[[#This Row],[Asset Class]],tblImpactIndex21[],4,FALSE)</f>
        <v>3</v>
      </c>
      <c r="K65" s="175">
        <f>IFERROR(MAX(tblRiskRegister19[[#This Row],[Impact to Mission]:[Impact to Obligations]])*tblRiskRegister19[[#This Row],[Expectancy Score]],"")</f>
        <v>6</v>
      </c>
      <c r="L65" s="175">
        <f>tblRiskRegister19[[#This Row],[Risk Score]]</f>
        <v>6</v>
      </c>
      <c r="M65" s="176" t="s">
        <v>268</v>
      </c>
      <c r="N65" s="29">
        <v>16.899999999999999</v>
      </c>
      <c r="O65" s="24" t="s">
        <v>34</v>
      </c>
      <c r="P65" s="24" t="s">
        <v>200</v>
      </c>
      <c r="Q65" s="174"/>
      <c r="R65" s="174">
        <v>4</v>
      </c>
      <c r="S65" s="178">
        <f>IFERROR(VLOOKUP(10*tblRiskRegister19[[#This Row],[Risk Treatment Safeguard Maturity Score]]+tblRiskRegister19[[#This Row],[VCDB Index]],tblHITIndexWeightTable[],4,FALSE),"")</f>
        <v>2</v>
      </c>
      <c r="T65" s="178">
        <f>VLOOKUP(tblRiskRegister19[[#This Row],[Asset Class]],tblImpactIndex21[],2,FALSE)</f>
        <v>2</v>
      </c>
      <c r="U65" s="178">
        <f>VLOOKUP(tblRiskRegister19[[#This Row],[Asset Class]],tblImpactIndex21[],3,FALSE)</f>
        <v>2</v>
      </c>
      <c r="V65" s="178">
        <f>VLOOKUP(tblRiskRegister19[[#This Row],[Asset Class]],tblImpactIndex21[],4,FALSE)</f>
        <v>3</v>
      </c>
      <c r="W65" s="178">
        <f>IFERROR(MAX(tblRiskRegister19[[#This Row],[Risk Treatment Safeguard Impact to Mission]:[Risk Treatment Safeguard Impact to Obligations]])*tblRiskRegister19[[#This Row],[Risk Treatment
Safeguard Expectancy Score]],"")</f>
        <v>6</v>
      </c>
      <c r="X65" s="178" t="str">
        <f>IF(tblRiskRegister19[[#This Row],[Risk Score]]&gt;5,IF(tblRiskRegister19[[#This Row],[Risk Treatment Safeguard Risk Score]]&lt;6, IF(tblRiskRegister19[[#This Row],[Risk Treatment Safeguard Risk Score]]&lt;=tblRiskRegister19[[#This Row],[Risk Score]],"Yes","No"),"No"),"Yes")</f>
        <v>No</v>
      </c>
      <c r="Y65" s="179"/>
      <c r="Z65" s="179"/>
      <c r="AA65" s="180"/>
      <c r="AB65" s="153"/>
      <c r="AC65" s="153"/>
      <c r="AD65" s="153"/>
      <c r="AE65" s="153"/>
    </row>
    <row r="66" spans="2:31" ht="38.25" x14ac:dyDescent="0.2">
      <c r="B66" s="29">
        <v>16.11</v>
      </c>
      <c r="C66" s="23" t="s">
        <v>35</v>
      </c>
      <c r="D66" s="214" t="s">
        <v>147</v>
      </c>
      <c r="E66" s="174">
        <v>2</v>
      </c>
      <c r="F66" s="175">
        <f>IFERROR(VLOOKUP(tblRiskRegister19[[#This Row],[Asset Class]],tblVCDBIndex[],4,FALSE),"")</f>
        <v>1</v>
      </c>
      <c r="G66" s="175">
        <f>IFERROR(VLOOKUP(10*tblRiskRegister19[[#This Row],[Safeguard Maturity Score]]+tblRiskRegister19[[#This Row],[VCDB Index]],tblHITIndexWeightTable[],4,FALSE),"")</f>
        <v>2</v>
      </c>
      <c r="H66" s="175">
        <f>VLOOKUP(tblRiskRegister19[[#This Row],[Asset Class]],tblImpactIndex21[],2,FALSE)</f>
        <v>2</v>
      </c>
      <c r="I66" s="175">
        <f>VLOOKUP(tblRiskRegister19[[#This Row],[Asset Class]],tblImpactIndex21[],3,FALSE)</f>
        <v>2</v>
      </c>
      <c r="J66" s="175">
        <f>VLOOKUP(tblRiskRegister19[[#This Row],[Asset Class]],tblImpactIndex21[],4,FALSE)</f>
        <v>2</v>
      </c>
      <c r="K66" s="175">
        <f>IFERROR(MAX(tblRiskRegister19[[#This Row],[Impact to Mission]:[Impact to Obligations]])*tblRiskRegister19[[#This Row],[Expectancy Score]],"")</f>
        <v>4</v>
      </c>
      <c r="L66" s="175">
        <f>tblRiskRegister19[[#This Row],[Risk Score]]</f>
        <v>4</v>
      </c>
      <c r="M66" s="176" t="s">
        <v>268</v>
      </c>
      <c r="N66" s="29">
        <v>16.11</v>
      </c>
      <c r="O66" s="24" t="s">
        <v>35</v>
      </c>
      <c r="P66" s="24" t="s">
        <v>201</v>
      </c>
      <c r="Q66" s="174"/>
      <c r="R66" s="174">
        <v>2</v>
      </c>
      <c r="S66" s="178">
        <f>IFERROR(VLOOKUP(10*tblRiskRegister19[[#This Row],[Risk Treatment Safeguard Maturity Score]]+tblRiskRegister19[[#This Row],[VCDB Index]],tblHITIndexWeightTable[],4,FALSE),"")</f>
        <v>2</v>
      </c>
      <c r="T66" s="178">
        <f>VLOOKUP(tblRiskRegister19[[#This Row],[Asset Class]],tblImpactIndex21[],2,FALSE)</f>
        <v>2</v>
      </c>
      <c r="U66" s="178">
        <f>VLOOKUP(tblRiskRegister19[[#This Row],[Asset Class]],tblImpactIndex21[],3,FALSE)</f>
        <v>2</v>
      </c>
      <c r="V66" s="178">
        <f>VLOOKUP(tblRiskRegister19[[#This Row],[Asset Class]],tblImpactIndex21[],4,FALSE)</f>
        <v>2</v>
      </c>
      <c r="W66" s="178">
        <f>IFERROR(MAX(tblRiskRegister19[[#This Row],[Risk Treatment Safeguard Impact to Mission]:[Risk Treatment Safeguard Impact to Obligations]])*tblRiskRegister19[[#This Row],[Risk Treatment
Safeguard Expectancy Score]],"")</f>
        <v>4</v>
      </c>
      <c r="X66" s="178" t="str">
        <f>IF(tblRiskRegister19[[#This Row],[Risk Score]]&gt;5,IF(tblRiskRegister19[[#This Row],[Risk Treatment Safeguard Risk Score]]&lt;6, IF(tblRiskRegister19[[#This Row],[Risk Treatment Safeguard Risk Score]]&lt;=tblRiskRegister19[[#This Row],[Risk Score]],"Yes","No"),"No"),"Yes")</f>
        <v>Yes</v>
      </c>
      <c r="Y66" s="179"/>
      <c r="Z66" s="179"/>
      <c r="AA66" s="180"/>
      <c r="AB66" s="153"/>
      <c r="AC66" s="153"/>
      <c r="AD66" s="153"/>
      <c r="AE66" s="153"/>
    </row>
    <row r="67" spans="2:31" ht="114.75" x14ac:dyDescent="0.2">
      <c r="B67" s="29">
        <v>17.3</v>
      </c>
      <c r="C67" s="23" t="s">
        <v>36</v>
      </c>
      <c r="D67" s="214" t="s">
        <v>150</v>
      </c>
      <c r="E67" s="174">
        <v>5</v>
      </c>
      <c r="F67" s="175">
        <f>IFERROR(VLOOKUP(tblRiskRegister19[[#This Row],[Asset Class]],tblVCDBIndex[],4,FALSE),"")</f>
        <v>3</v>
      </c>
      <c r="G67" s="175">
        <f>IFERROR(VLOOKUP(10*tblRiskRegister19[[#This Row],[Safeguard Maturity Score]]+tblRiskRegister19[[#This Row],[VCDB Index]],tblHITIndexWeightTable[],4,FALSE),"")</f>
        <v>1</v>
      </c>
      <c r="H67" s="175">
        <f>VLOOKUP(tblRiskRegister19[[#This Row],[Asset Class]],tblImpactIndex21[],2,FALSE)</f>
        <v>2</v>
      </c>
      <c r="I67" s="175">
        <f>VLOOKUP(tblRiskRegister19[[#This Row],[Asset Class]],tblImpactIndex21[],3,FALSE)</f>
        <v>2</v>
      </c>
      <c r="J67" s="175">
        <f>VLOOKUP(tblRiskRegister19[[#This Row],[Asset Class]],tblImpactIndex21[],4,FALSE)</f>
        <v>3</v>
      </c>
      <c r="K67" s="175">
        <f>IFERROR(MAX(tblRiskRegister19[[#This Row],[Impact to Mission]:[Impact to Obligations]])*tblRiskRegister19[[#This Row],[Expectancy Score]],"")</f>
        <v>3</v>
      </c>
      <c r="L67" s="175">
        <f>tblRiskRegister19[[#This Row],[Risk Score]]</f>
        <v>3</v>
      </c>
      <c r="M67" s="176" t="s">
        <v>269</v>
      </c>
      <c r="N67" s="29"/>
      <c r="O67" s="24" t="s">
        <v>36</v>
      </c>
      <c r="P67" s="24" t="s">
        <v>202</v>
      </c>
      <c r="Q67" s="174"/>
      <c r="R67" s="174"/>
      <c r="S67" s="178" t="str">
        <f>IFERROR(VLOOKUP(10*tblRiskRegister19[[#This Row],[Risk Treatment Safeguard Maturity Score]]+tblRiskRegister19[[#This Row],[VCDB Index]],tblHITIndexWeightTable[],4,FALSE),"")</f>
        <v/>
      </c>
      <c r="T67" s="178">
        <f>VLOOKUP(tblRiskRegister19[[#This Row],[Asset Class]],tblImpactIndex21[],2,FALSE)</f>
        <v>2</v>
      </c>
      <c r="U67" s="178">
        <f>VLOOKUP(tblRiskRegister19[[#This Row],[Asset Class]],tblImpactIndex21[],3,FALSE)</f>
        <v>2</v>
      </c>
      <c r="V67" s="178">
        <f>VLOOKUP(tblRiskRegister19[[#This Row],[Asset Class]],tblImpactIndex21[],4,FALSE)</f>
        <v>3</v>
      </c>
      <c r="W67" s="178" t="str">
        <f>IFERROR(MAX(tblRiskRegister19[[#This Row],[Risk Treatment Safeguard Impact to Mission]:[Risk Treatment Safeguard Impact to Obligations]])*tblRiskRegister19[[#This Row],[Risk Treatment
Safeguard Expectancy Score]],"")</f>
        <v/>
      </c>
      <c r="X67" s="178" t="str">
        <f>IF(tblRiskRegister19[[#This Row],[Risk Score]]&gt;5,IF(tblRiskRegister19[[#This Row],[Risk Treatment Safeguard Risk Score]]&lt;6, IF(tblRiskRegister19[[#This Row],[Risk Treatment Safeguard Risk Score]]&lt;=tblRiskRegister19[[#This Row],[Risk Score]],"Yes","No"),"No"),"Yes")</f>
        <v>Yes</v>
      </c>
      <c r="Y67" s="179"/>
      <c r="Z67" s="179"/>
      <c r="AA67" s="180"/>
      <c r="AB67" s="153"/>
      <c r="AC67" s="153"/>
      <c r="AD67" s="153"/>
      <c r="AE67" s="153"/>
    </row>
    <row r="68" spans="2:31" ht="38.25" x14ac:dyDescent="0.2">
      <c r="B68" s="29">
        <v>17.5</v>
      </c>
      <c r="C68" s="23" t="s">
        <v>37</v>
      </c>
      <c r="D68" s="214" t="s">
        <v>150</v>
      </c>
      <c r="E68" s="174">
        <v>1</v>
      </c>
      <c r="F68" s="175">
        <f>IFERROR(VLOOKUP(tblRiskRegister19[[#This Row],[Asset Class]],tblVCDBIndex[],4,FALSE),"")</f>
        <v>3</v>
      </c>
      <c r="G68" s="175">
        <f>IFERROR(VLOOKUP(10*tblRiskRegister19[[#This Row],[Safeguard Maturity Score]]+tblRiskRegister19[[#This Row],[VCDB Index]],tblHITIndexWeightTable[],4,FALSE),"")</f>
        <v>3</v>
      </c>
      <c r="H68" s="175">
        <f>VLOOKUP(tblRiskRegister19[[#This Row],[Asset Class]],tblImpactIndex21[],2,FALSE)</f>
        <v>2</v>
      </c>
      <c r="I68" s="175">
        <f>VLOOKUP(tblRiskRegister19[[#This Row],[Asset Class]],tblImpactIndex21[],3,FALSE)</f>
        <v>2</v>
      </c>
      <c r="J68" s="175">
        <f>VLOOKUP(tblRiskRegister19[[#This Row],[Asset Class]],tblImpactIndex21[],4,FALSE)</f>
        <v>3</v>
      </c>
      <c r="K68" s="175">
        <f>IFERROR(MAX(tblRiskRegister19[[#This Row],[Impact to Mission]:[Impact to Obligations]])*tblRiskRegister19[[#This Row],[Expectancy Score]],"")</f>
        <v>9</v>
      </c>
      <c r="L68" s="175">
        <f>tblRiskRegister19[[#This Row],[Risk Score]]</f>
        <v>9</v>
      </c>
      <c r="M68" s="176" t="s">
        <v>268</v>
      </c>
      <c r="N68" s="29">
        <v>17.5</v>
      </c>
      <c r="O68" s="24" t="s">
        <v>37</v>
      </c>
      <c r="P68" s="24" t="s">
        <v>203</v>
      </c>
      <c r="Q68" s="174"/>
      <c r="R68" s="174">
        <v>1</v>
      </c>
      <c r="S68" s="178">
        <f>IFERROR(VLOOKUP(10*tblRiskRegister19[[#This Row],[Risk Treatment Safeguard Maturity Score]]+tblRiskRegister19[[#This Row],[VCDB Index]],tblHITIndexWeightTable[],4,FALSE),"")</f>
        <v>3</v>
      </c>
      <c r="T68" s="178">
        <f>VLOOKUP(tblRiskRegister19[[#This Row],[Asset Class]],tblImpactIndex21[],2,FALSE)</f>
        <v>2</v>
      </c>
      <c r="U68" s="178">
        <f>VLOOKUP(tblRiskRegister19[[#This Row],[Asset Class]],tblImpactIndex21[],3,FALSE)</f>
        <v>2</v>
      </c>
      <c r="V68" s="178">
        <f>VLOOKUP(tblRiskRegister19[[#This Row],[Asset Class]],tblImpactIndex21[],4,FALSE)</f>
        <v>3</v>
      </c>
      <c r="W68" s="178">
        <f>IFERROR(MAX(tblRiskRegister19[[#This Row],[Risk Treatment Safeguard Impact to Mission]:[Risk Treatment Safeguard Impact to Obligations]])*tblRiskRegister19[[#This Row],[Risk Treatment
Safeguard Expectancy Score]],"")</f>
        <v>9</v>
      </c>
      <c r="X68" s="178" t="str">
        <f>IF(tblRiskRegister19[[#This Row],[Risk Score]]&gt;5,IF(tblRiskRegister19[[#This Row],[Risk Treatment Safeguard Risk Score]]&lt;6, IF(tblRiskRegister19[[#This Row],[Risk Treatment Safeguard Risk Score]]&lt;=tblRiskRegister19[[#This Row],[Risk Score]],"Yes","No"),"No"),"Yes")</f>
        <v>No</v>
      </c>
      <c r="Y68" s="179"/>
      <c r="Z68" s="179"/>
      <c r="AA68" s="180"/>
      <c r="AB68" s="153"/>
      <c r="AC68" s="153"/>
      <c r="AD68" s="153"/>
      <c r="AE68" s="153"/>
    </row>
    <row r="69" spans="2:31" ht="51" x14ac:dyDescent="0.2">
      <c r="B69" s="29">
        <v>17.600000000000001</v>
      </c>
      <c r="C69" s="23" t="s">
        <v>38</v>
      </c>
      <c r="D69" s="214" t="s">
        <v>150</v>
      </c>
      <c r="E69" s="174">
        <v>2</v>
      </c>
      <c r="F69" s="175">
        <f>IFERROR(VLOOKUP(tblRiskRegister19[[#This Row],[Asset Class]],tblVCDBIndex[],4,FALSE),"")</f>
        <v>3</v>
      </c>
      <c r="G69" s="175">
        <f>IFERROR(VLOOKUP(10*tblRiskRegister19[[#This Row],[Safeguard Maturity Score]]+tblRiskRegister19[[#This Row],[VCDB Index]],tblHITIndexWeightTable[],4,FALSE),"")</f>
        <v>2</v>
      </c>
      <c r="H69" s="175">
        <f>VLOOKUP(tblRiskRegister19[[#This Row],[Asset Class]],tblImpactIndex21[],2,FALSE)</f>
        <v>2</v>
      </c>
      <c r="I69" s="175">
        <f>VLOOKUP(tblRiskRegister19[[#This Row],[Asset Class]],tblImpactIndex21[],3,FALSE)</f>
        <v>2</v>
      </c>
      <c r="J69" s="175">
        <f>VLOOKUP(tblRiskRegister19[[#This Row],[Asset Class]],tblImpactIndex21[],4,FALSE)</f>
        <v>3</v>
      </c>
      <c r="K69" s="175">
        <f>IFERROR(MAX(tblRiskRegister19[[#This Row],[Impact to Mission]:[Impact to Obligations]])*tblRiskRegister19[[#This Row],[Expectancy Score]],"")</f>
        <v>6</v>
      </c>
      <c r="L69" s="175">
        <f>tblRiskRegister19[[#This Row],[Risk Score]]</f>
        <v>6</v>
      </c>
      <c r="M69" s="176" t="s">
        <v>268</v>
      </c>
      <c r="N69" s="29">
        <v>17.600000000000001</v>
      </c>
      <c r="O69" s="24" t="s">
        <v>38</v>
      </c>
      <c r="P69" s="24" t="s">
        <v>423</v>
      </c>
      <c r="Q69" s="174"/>
      <c r="R69" s="174">
        <v>2</v>
      </c>
      <c r="S69" s="178">
        <f>IFERROR(VLOOKUP(10*tblRiskRegister19[[#This Row],[Risk Treatment Safeguard Maturity Score]]+tblRiskRegister19[[#This Row],[VCDB Index]],tblHITIndexWeightTable[],4,FALSE),"")</f>
        <v>2</v>
      </c>
      <c r="T69" s="178">
        <f>VLOOKUP(tblRiskRegister19[[#This Row],[Asset Class]],tblImpactIndex21[],2,FALSE)</f>
        <v>2</v>
      </c>
      <c r="U69" s="178">
        <f>VLOOKUP(tblRiskRegister19[[#This Row],[Asset Class]],tblImpactIndex21[],3,FALSE)</f>
        <v>2</v>
      </c>
      <c r="V69" s="178">
        <f>VLOOKUP(tblRiskRegister19[[#This Row],[Asset Class]],tblImpactIndex21[],4,FALSE)</f>
        <v>3</v>
      </c>
      <c r="W69" s="178">
        <f>IFERROR(MAX(tblRiskRegister19[[#This Row],[Risk Treatment Safeguard Impact to Mission]:[Risk Treatment Safeguard Impact to Obligations]])*tblRiskRegister19[[#This Row],[Risk Treatment
Safeguard Expectancy Score]],"")</f>
        <v>6</v>
      </c>
      <c r="X69" s="178" t="str">
        <f>IF(tblRiskRegister19[[#This Row],[Risk Score]]&gt;5,IF(tblRiskRegister19[[#This Row],[Risk Treatment Safeguard Risk Score]]&lt;6, IF(tblRiskRegister19[[#This Row],[Risk Treatment Safeguard Risk Score]]&lt;=tblRiskRegister19[[#This Row],[Risk Score]],"Yes","No"),"No"),"Yes")</f>
        <v>No</v>
      </c>
      <c r="Y69" s="179"/>
      <c r="Z69" s="179"/>
      <c r="AA69" s="180"/>
      <c r="AB69" s="153"/>
      <c r="AC69" s="153"/>
      <c r="AD69" s="153"/>
      <c r="AE69" s="153"/>
    </row>
    <row r="70" spans="2:31" ht="38.25" x14ac:dyDescent="0.2">
      <c r="B70" s="29">
        <v>17.7</v>
      </c>
      <c r="C70" s="23" t="s">
        <v>39</v>
      </c>
      <c r="D70" s="214" t="s">
        <v>150</v>
      </c>
      <c r="E70" s="174">
        <v>3</v>
      </c>
      <c r="F70" s="175">
        <f>IFERROR(VLOOKUP(tblRiskRegister19[[#This Row],[Asset Class]],tblVCDBIndex[],4,FALSE),"")</f>
        <v>3</v>
      </c>
      <c r="G70" s="175">
        <f>IFERROR(VLOOKUP(10*tblRiskRegister19[[#This Row],[Safeguard Maturity Score]]+tblRiskRegister19[[#This Row],[VCDB Index]],tblHITIndexWeightTable[],4,FALSE),"")</f>
        <v>2</v>
      </c>
      <c r="H70" s="175">
        <f>VLOOKUP(tblRiskRegister19[[#This Row],[Asset Class]],tblImpactIndex21[],2,FALSE)</f>
        <v>2</v>
      </c>
      <c r="I70" s="175">
        <f>VLOOKUP(tblRiskRegister19[[#This Row],[Asset Class]],tblImpactIndex21[],3,FALSE)</f>
        <v>2</v>
      </c>
      <c r="J70" s="175">
        <f>VLOOKUP(tblRiskRegister19[[#This Row],[Asset Class]],tblImpactIndex21[],4,FALSE)</f>
        <v>3</v>
      </c>
      <c r="K70" s="175">
        <f>IFERROR(MAX(tblRiskRegister19[[#This Row],[Impact to Mission]:[Impact to Obligations]])*tblRiskRegister19[[#This Row],[Expectancy Score]],"")</f>
        <v>6</v>
      </c>
      <c r="L70" s="175">
        <f>tblRiskRegister19[[#This Row],[Risk Score]]</f>
        <v>6</v>
      </c>
      <c r="M70" s="176" t="s">
        <v>268</v>
      </c>
      <c r="N70" s="29">
        <v>17.7</v>
      </c>
      <c r="O70" s="24" t="s">
        <v>39</v>
      </c>
      <c r="P70" s="24" t="s">
        <v>424</v>
      </c>
      <c r="Q70" s="174"/>
      <c r="R70" s="174">
        <v>3</v>
      </c>
      <c r="S70" s="178">
        <f>IFERROR(VLOOKUP(10*tblRiskRegister19[[#This Row],[Risk Treatment Safeguard Maturity Score]]+tblRiskRegister19[[#This Row],[VCDB Index]],tblHITIndexWeightTable[],4,FALSE),"")</f>
        <v>2</v>
      </c>
      <c r="T70" s="178">
        <f>VLOOKUP(tblRiskRegister19[[#This Row],[Asset Class]],tblImpactIndex21[],2,FALSE)</f>
        <v>2</v>
      </c>
      <c r="U70" s="178">
        <f>VLOOKUP(tblRiskRegister19[[#This Row],[Asset Class]],tblImpactIndex21[],3,FALSE)</f>
        <v>2</v>
      </c>
      <c r="V70" s="178">
        <f>VLOOKUP(tblRiskRegister19[[#This Row],[Asset Class]],tblImpactIndex21[],4,FALSE)</f>
        <v>3</v>
      </c>
      <c r="W70" s="178">
        <f>IFERROR(MAX(tblRiskRegister19[[#This Row],[Risk Treatment Safeguard Impact to Mission]:[Risk Treatment Safeguard Impact to Obligations]])*tblRiskRegister19[[#This Row],[Risk Treatment
Safeguard Expectancy Score]],"")</f>
        <v>6</v>
      </c>
      <c r="X70" s="178" t="str">
        <f>IF(tblRiskRegister19[[#This Row],[Risk Score]]&gt;5,IF(tblRiskRegister19[[#This Row],[Risk Treatment Safeguard Risk Score]]&lt;6, IF(tblRiskRegister19[[#This Row],[Risk Treatment Safeguard Risk Score]]&lt;=tblRiskRegister19[[#This Row],[Risk Score]],"Yes","No"),"No"),"Yes")</f>
        <v>No</v>
      </c>
      <c r="Y70" s="179"/>
      <c r="Z70" s="179"/>
      <c r="AA70" s="180"/>
      <c r="AB70" s="153"/>
      <c r="AC70" s="153"/>
      <c r="AD70" s="153"/>
      <c r="AE70" s="153"/>
    </row>
    <row r="71" spans="2:31" ht="63.75" x14ac:dyDescent="0.2">
      <c r="B71" s="29">
        <v>17.8</v>
      </c>
      <c r="C71" s="23" t="s">
        <v>40</v>
      </c>
      <c r="D71" s="214" t="s">
        <v>150</v>
      </c>
      <c r="E71" s="174">
        <v>4</v>
      </c>
      <c r="F71" s="175">
        <f>IFERROR(VLOOKUP(tblRiskRegister19[[#This Row],[Asset Class]],tblVCDBIndex[],4,FALSE),"")</f>
        <v>3</v>
      </c>
      <c r="G71" s="175">
        <f>IFERROR(VLOOKUP(10*tblRiskRegister19[[#This Row],[Safeguard Maturity Score]]+tblRiskRegister19[[#This Row],[VCDB Index]],tblHITIndexWeightTable[],4,FALSE),"")</f>
        <v>2</v>
      </c>
      <c r="H71" s="175">
        <f>VLOOKUP(tblRiskRegister19[[#This Row],[Asset Class]],tblImpactIndex21[],2,FALSE)</f>
        <v>2</v>
      </c>
      <c r="I71" s="175">
        <f>VLOOKUP(tblRiskRegister19[[#This Row],[Asset Class]],tblImpactIndex21[],3,FALSE)</f>
        <v>2</v>
      </c>
      <c r="J71" s="175">
        <f>VLOOKUP(tblRiskRegister19[[#This Row],[Asset Class]],tblImpactIndex21[],4,FALSE)</f>
        <v>3</v>
      </c>
      <c r="K71" s="175">
        <f>IFERROR(MAX(tblRiskRegister19[[#This Row],[Impact to Mission]:[Impact to Obligations]])*tblRiskRegister19[[#This Row],[Expectancy Score]],"")</f>
        <v>6</v>
      </c>
      <c r="L71" s="175">
        <f>tblRiskRegister19[[#This Row],[Risk Score]]</f>
        <v>6</v>
      </c>
      <c r="M71" s="176" t="s">
        <v>268</v>
      </c>
      <c r="N71" s="29">
        <v>17.8</v>
      </c>
      <c r="O71" s="24" t="s">
        <v>40</v>
      </c>
      <c r="P71" s="24" t="s">
        <v>204</v>
      </c>
      <c r="Q71" s="174"/>
      <c r="R71" s="174">
        <v>4</v>
      </c>
      <c r="S71" s="178">
        <f>IFERROR(VLOOKUP(10*tblRiskRegister19[[#This Row],[Risk Treatment Safeguard Maturity Score]]+tblRiskRegister19[[#This Row],[VCDB Index]],tblHITIndexWeightTable[],4,FALSE),"")</f>
        <v>2</v>
      </c>
      <c r="T71" s="178">
        <f>VLOOKUP(tblRiskRegister19[[#This Row],[Asset Class]],tblImpactIndex21[],2,FALSE)</f>
        <v>2</v>
      </c>
      <c r="U71" s="178">
        <f>VLOOKUP(tblRiskRegister19[[#This Row],[Asset Class]],tblImpactIndex21[],3,FALSE)</f>
        <v>2</v>
      </c>
      <c r="V71" s="178">
        <f>VLOOKUP(tblRiskRegister19[[#This Row],[Asset Class]],tblImpactIndex21[],4,FALSE)</f>
        <v>3</v>
      </c>
      <c r="W71" s="178">
        <f>IFERROR(MAX(tblRiskRegister19[[#This Row],[Risk Treatment Safeguard Impact to Mission]:[Risk Treatment Safeguard Impact to Obligations]])*tblRiskRegister19[[#This Row],[Risk Treatment
Safeguard Expectancy Score]],"")</f>
        <v>6</v>
      </c>
      <c r="X71" s="178" t="str">
        <f>IF(tblRiskRegister19[[#This Row],[Risk Score]]&gt;5,IF(tblRiskRegister19[[#This Row],[Risk Treatment Safeguard Risk Score]]&lt;6, IF(tblRiskRegister19[[#This Row],[Risk Treatment Safeguard Risk Score]]&lt;=tblRiskRegister19[[#This Row],[Risk Score]],"Yes","No"),"No"),"Yes")</f>
        <v>No</v>
      </c>
      <c r="Y71" s="179"/>
      <c r="Z71" s="179"/>
      <c r="AA71" s="180"/>
      <c r="AB71" s="153"/>
      <c r="AC71" s="153"/>
      <c r="AD71" s="153"/>
      <c r="AE71" s="153"/>
    </row>
    <row r="72" spans="2:31" ht="51" x14ac:dyDescent="0.2">
      <c r="B72" s="29">
        <v>17.899999999999999</v>
      </c>
      <c r="C72" s="23" t="s">
        <v>41</v>
      </c>
      <c r="D72" s="214" t="s">
        <v>150</v>
      </c>
      <c r="E72" s="174">
        <v>5</v>
      </c>
      <c r="F72" s="175">
        <f>IFERROR(VLOOKUP(tblRiskRegister19[[#This Row],[Asset Class]],tblVCDBIndex[],4,FALSE),"")</f>
        <v>3</v>
      </c>
      <c r="G72" s="175">
        <f>IFERROR(VLOOKUP(10*tblRiskRegister19[[#This Row],[Safeguard Maturity Score]]+tblRiskRegister19[[#This Row],[VCDB Index]],tblHITIndexWeightTable[],4,FALSE),"")</f>
        <v>1</v>
      </c>
      <c r="H72" s="175">
        <f>VLOOKUP(tblRiskRegister19[[#This Row],[Asset Class]],tblImpactIndex21[],2,FALSE)</f>
        <v>2</v>
      </c>
      <c r="I72" s="175">
        <f>VLOOKUP(tblRiskRegister19[[#This Row],[Asset Class]],tblImpactIndex21[],3,FALSE)</f>
        <v>2</v>
      </c>
      <c r="J72" s="175">
        <f>VLOOKUP(tblRiskRegister19[[#This Row],[Asset Class]],tblImpactIndex21[],4,FALSE)</f>
        <v>3</v>
      </c>
      <c r="K72" s="175">
        <f>IFERROR(MAX(tblRiskRegister19[[#This Row],[Impact to Mission]:[Impact to Obligations]])*tblRiskRegister19[[#This Row],[Expectancy Score]],"")</f>
        <v>3</v>
      </c>
      <c r="L72" s="175">
        <f>tblRiskRegister19[[#This Row],[Risk Score]]</f>
        <v>3</v>
      </c>
      <c r="M72" s="176" t="s">
        <v>269</v>
      </c>
      <c r="N72" s="29"/>
      <c r="O72" s="24" t="s">
        <v>41</v>
      </c>
      <c r="P72" s="24" t="s">
        <v>205</v>
      </c>
      <c r="Q72" s="174"/>
      <c r="R72" s="174"/>
      <c r="S72" s="178" t="str">
        <f>IFERROR(VLOOKUP(10*tblRiskRegister19[[#This Row],[Risk Treatment Safeguard Maturity Score]]+tblRiskRegister19[[#This Row],[VCDB Index]],tblHITIndexWeightTable[],4,FALSE),"")</f>
        <v/>
      </c>
      <c r="T72" s="178">
        <f>VLOOKUP(tblRiskRegister19[[#This Row],[Asset Class]],tblImpactIndex21[],2,FALSE)</f>
        <v>2</v>
      </c>
      <c r="U72" s="178">
        <f>VLOOKUP(tblRiskRegister19[[#This Row],[Asset Class]],tblImpactIndex21[],3,FALSE)</f>
        <v>2</v>
      </c>
      <c r="V72" s="178">
        <f>VLOOKUP(tblRiskRegister19[[#This Row],[Asset Class]],tblImpactIndex21[],4,FALSE)</f>
        <v>3</v>
      </c>
      <c r="W72" s="178" t="str">
        <f>IFERROR(MAX(tblRiskRegister19[[#This Row],[Risk Treatment Safeguard Impact to Mission]:[Risk Treatment Safeguard Impact to Obligations]])*tblRiskRegister19[[#This Row],[Risk Treatment
Safeguard Expectancy Score]],"")</f>
        <v/>
      </c>
      <c r="X72" s="178" t="str">
        <f>IF(tblRiskRegister19[[#This Row],[Risk Score]]&gt;5,IF(tblRiskRegister19[[#This Row],[Risk Treatment Safeguard Risk Score]]&lt;6, IF(tblRiskRegister19[[#This Row],[Risk Treatment Safeguard Risk Score]]&lt;=tblRiskRegister19[[#This Row],[Risk Score]],"Yes","No"),"No"),"Yes")</f>
        <v>Yes</v>
      </c>
      <c r="Y72" s="179"/>
      <c r="Z72" s="179"/>
      <c r="AA72" s="180"/>
      <c r="AB72" s="153"/>
      <c r="AC72" s="153"/>
      <c r="AD72" s="153"/>
      <c r="AE72" s="153"/>
    </row>
    <row r="73" spans="2:31" ht="51" x14ac:dyDescent="0.2">
      <c r="B73" s="29">
        <v>19.100000000000001</v>
      </c>
      <c r="C73" s="23" t="s">
        <v>42</v>
      </c>
      <c r="D73" s="214" t="s">
        <v>151</v>
      </c>
      <c r="E73" s="174">
        <v>2</v>
      </c>
      <c r="F73" s="175">
        <f>IFERROR(VLOOKUP(tblRiskRegister19[[#This Row],[Asset Class]],tblVCDBIndex[],4,FALSE),"")</f>
        <v>3</v>
      </c>
      <c r="G73" s="175">
        <f>IFERROR(VLOOKUP(10*tblRiskRegister19[[#This Row],[Safeguard Maturity Score]]+tblRiskRegister19[[#This Row],[VCDB Index]],tblHITIndexWeightTable[],4,FALSE),"")</f>
        <v>2</v>
      </c>
      <c r="H73" s="175">
        <f>VLOOKUP(tblRiskRegister19[[#This Row],[Asset Class]],tblImpactIndex21[],2,FALSE)</f>
        <v>2</v>
      </c>
      <c r="I73" s="175">
        <f>VLOOKUP(tblRiskRegister19[[#This Row],[Asset Class]],tblImpactIndex21[],3,FALSE)</f>
        <v>2</v>
      </c>
      <c r="J73" s="175">
        <f>VLOOKUP(tblRiskRegister19[[#This Row],[Asset Class]],tblImpactIndex21[],4,FALSE)</f>
        <v>3</v>
      </c>
      <c r="K73" s="175">
        <f>IFERROR(MAX(tblRiskRegister19[[#This Row],[Impact to Mission]:[Impact to Obligations]])*tblRiskRegister19[[#This Row],[Expectancy Score]],"")</f>
        <v>6</v>
      </c>
      <c r="L73" s="175">
        <f>tblRiskRegister19[[#This Row],[Risk Score]]</f>
        <v>6</v>
      </c>
      <c r="M73" s="176" t="s">
        <v>268</v>
      </c>
      <c r="N73" s="29">
        <v>19.100000000000001</v>
      </c>
      <c r="O73" s="24" t="s">
        <v>42</v>
      </c>
      <c r="P73" s="24" t="s">
        <v>388</v>
      </c>
      <c r="Q73" s="174"/>
      <c r="R73" s="174">
        <v>2</v>
      </c>
      <c r="S73" s="178">
        <f>IFERROR(VLOOKUP(10*tblRiskRegister19[[#This Row],[Risk Treatment Safeguard Maturity Score]]+tblRiskRegister19[[#This Row],[VCDB Index]],tblHITIndexWeightTable[],4,FALSE),"")</f>
        <v>2</v>
      </c>
      <c r="T73" s="178">
        <f>VLOOKUP(tblRiskRegister19[[#This Row],[Asset Class]],tblImpactIndex21[],2,FALSE)</f>
        <v>2</v>
      </c>
      <c r="U73" s="178">
        <f>VLOOKUP(tblRiskRegister19[[#This Row],[Asset Class]],tblImpactIndex21[],3,FALSE)</f>
        <v>2</v>
      </c>
      <c r="V73" s="178">
        <f>VLOOKUP(tblRiskRegister19[[#This Row],[Asset Class]],tblImpactIndex21[],4,FALSE)</f>
        <v>3</v>
      </c>
      <c r="W73" s="178">
        <f>IFERROR(MAX(tblRiskRegister19[[#This Row],[Risk Treatment Safeguard Impact to Mission]:[Risk Treatment Safeguard Impact to Obligations]])*tblRiskRegister19[[#This Row],[Risk Treatment
Safeguard Expectancy Score]],"")</f>
        <v>6</v>
      </c>
      <c r="X73" s="178" t="str">
        <f>IF(tblRiskRegister19[[#This Row],[Risk Score]]&gt;5,IF(tblRiskRegister19[[#This Row],[Risk Treatment Safeguard Risk Score]]&lt;6, IF(tblRiskRegister19[[#This Row],[Risk Treatment Safeguard Risk Score]]&lt;=tblRiskRegister19[[#This Row],[Risk Score]],"Yes","No"),"No"),"Yes")</f>
        <v>No</v>
      </c>
      <c r="Y73" s="179"/>
      <c r="Z73" s="179"/>
      <c r="AA73" s="180"/>
      <c r="AB73" s="153"/>
      <c r="AC73" s="153"/>
      <c r="AD73" s="153"/>
      <c r="AE73" s="153"/>
    </row>
    <row r="74" spans="2:31" ht="51" x14ac:dyDescent="0.2">
      <c r="B74" s="29">
        <v>19.3</v>
      </c>
      <c r="C74" s="23" t="s">
        <v>43</v>
      </c>
      <c r="D74" s="214" t="s">
        <v>151</v>
      </c>
      <c r="E74" s="174">
        <v>1</v>
      </c>
      <c r="F74" s="175">
        <f>IFERROR(VLOOKUP(tblRiskRegister19[[#This Row],[Asset Class]],tblVCDBIndex[],4,FALSE),"")</f>
        <v>3</v>
      </c>
      <c r="G74" s="175">
        <f>IFERROR(VLOOKUP(10*tblRiskRegister19[[#This Row],[Safeguard Maturity Score]]+tblRiskRegister19[[#This Row],[VCDB Index]],tblHITIndexWeightTable[],4,FALSE),"")</f>
        <v>3</v>
      </c>
      <c r="H74" s="175">
        <f>VLOOKUP(tblRiskRegister19[[#This Row],[Asset Class]],tblImpactIndex21[],2,FALSE)</f>
        <v>2</v>
      </c>
      <c r="I74" s="175">
        <f>VLOOKUP(tblRiskRegister19[[#This Row],[Asset Class]],tblImpactIndex21[],3,FALSE)</f>
        <v>2</v>
      </c>
      <c r="J74" s="175">
        <f>VLOOKUP(tblRiskRegister19[[#This Row],[Asset Class]],tblImpactIndex21[],4,FALSE)</f>
        <v>3</v>
      </c>
      <c r="K74" s="175">
        <f>IFERROR(MAX(tblRiskRegister19[[#This Row],[Impact to Mission]:[Impact to Obligations]])*tblRiskRegister19[[#This Row],[Expectancy Score]],"")</f>
        <v>9</v>
      </c>
      <c r="L74" s="175">
        <f>tblRiskRegister19[[#This Row],[Risk Score]]</f>
        <v>9</v>
      </c>
      <c r="M74" s="176" t="s">
        <v>268</v>
      </c>
      <c r="N74" s="29">
        <v>19.3</v>
      </c>
      <c r="O74" s="24" t="s">
        <v>43</v>
      </c>
      <c r="P74" s="24" t="s">
        <v>206</v>
      </c>
      <c r="Q74" s="174"/>
      <c r="R74" s="174">
        <v>1</v>
      </c>
      <c r="S74" s="178">
        <f>IFERROR(VLOOKUP(10*tblRiskRegister19[[#This Row],[Risk Treatment Safeguard Maturity Score]]+tblRiskRegister19[[#This Row],[VCDB Index]],tblHITIndexWeightTable[],4,FALSE),"")</f>
        <v>3</v>
      </c>
      <c r="T74" s="178">
        <f>VLOOKUP(tblRiskRegister19[[#This Row],[Asset Class]],tblImpactIndex21[],2,FALSE)</f>
        <v>2</v>
      </c>
      <c r="U74" s="178">
        <f>VLOOKUP(tblRiskRegister19[[#This Row],[Asset Class]],tblImpactIndex21[],3,FALSE)</f>
        <v>2</v>
      </c>
      <c r="V74" s="178">
        <f>VLOOKUP(tblRiskRegister19[[#This Row],[Asset Class]],tblImpactIndex21[],4,FALSE)</f>
        <v>3</v>
      </c>
      <c r="W74" s="178">
        <f>IFERROR(MAX(tblRiskRegister19[[#This Row],[Risk Treatment Safeguard Impact to Mission]:[Risk Treatment Safeguard Impact to Obligations]])*tblRiskRegister19[[#This Row],[Risk Treatment
Safeguard Expectancy Score]],"")</f>
        <v>9</v>
      </c>
      <c r="X74" s="178" t="str">
        <f>IF(tblRiskRegister19[[#This Row],[Risk Score]]&gt;5,IF(tblRiskRegister19[[#This Row],[Risk Treatment Safeguard Risk Score]]&lt;6, IF(tblRiskRegister19[[#This Row],[Risk Treatment Safeguard Risk Score]]&lt;=tblRiskRegister19[[#This Row],[Risk Score]],"Yes","No"),"No"),"Yes")</f>
        <v>No</v>
      </c>
      <c r="Y74" s="179"/>
      <c r="Z74" s="179"/>
      <c r="AA74" s="180"/>
      <c r="AB74" s="153"/>
      <c r="AC74" s="153"/>
      <c r="AD74" s="153"/>
      <c r="AE74" s="153"/>
    </row>
    <row r="75" spans="2:31" ht="76.5" x14ac:dyDescent="0.2">
      <c r="B75" s="29">
        <v>19.5</v>
      </c>
      <c r="C75" s="23" t="s">
        <v>44</v>
      </c>
      <c r="D75" s="214" t="s">
        <v>151</v>
      </c>
      <c r="E75" s="174">
        <v>1</v>
      </c>
      <c r="F75" s="175">
        <f>IFERROR(VLOOKUP(tblRiskRegister19[[#This Row],[Asset Class]],tblVCDBIndex[],4,FALSE),"")</f>
        <v>3</v>
      </c>
      <c r="G75" s="175">
        <f>IFERROR(VLOOKUP(10*tblRiskRegister19[[#This Row],[Safeguard Maturity Score]]+tblRiskRegister19[[#This Row],[VCDB Index]],tblHITIndexWeightTable[],4,FALSE),"")</f>
        <v>3</v>
      </c>
      <c r="H75" s="175">
        <f>VLOOKUP(tblRiskRegister19[[#This Row],[Asset Class]],tblImpactIndex21[],2,FALSE)</f>
        <v>2</v>
      </c>
      <c r="I75" s="175">
        <f>VLOOKUP(tblRiskRegister19[[#This Row],[Asset Class]],tblImpactIndex21[],3,FALSE)</f>
        <v>2</v>
      </c>
      <c r="J75" s="175">
        <f>VLOOKUP(tblRiskRegister19[[#This Row],[Asset Class]],tblImpactIndex21[],4,FALSE)</f>
        <v>3</v>
      </c>
      <c r="K75" s="175">
        <f>IFERROR(MAX(tblRiskRegister19[[#This Row],[Impact to Mission]:[Impact to Obligations]])*tblRiskRegister19[[#This Row],[Expectancy Score]],"")</f>
        <v>9</v>
      </c>
      <c r="L75" s="175">
        <f>tblRiskRegister19[[#This Row],[Risk Score]]</f>
        <v>9</v>
      </c>
      <c r="M75" s="176" t="s">
        <v>268</v>
      </c>
      <c r="N75" s="29">
        <v>19.5</v>
      </c>
      <c r="O75" s="24" t="s">
        <v>44</v>
      </c>
      <c r="P75" s="24" t="s">
        <v>207</v>
      </c>
      <c r="Q75" s="174"/>
      <c r="R75" s="174">
        <v>1</v>
      </c>
      <c r="S75" s="178">
        <f>IFERROR(VLOOKUP(10*tblRiskRegister19[[#This Row],[Risk Treatment Safeguard Maturity Score]]+tblRiskRegister19[[#This Row],[VCDB Index]],tblHITIndexWeightTable[],4,FALSE),"")</f>
        <v>3</v>
      </c>
      <c r="T75" s="178">
        <f>VLOOKUP(tblRiskRegister19[[#This Row],[Asset Class]],tblImpactIndex21[],2,FALSE)</f>
        <v>2</v>
      </c>
      <c r="U75" s="178">
        <f>VLOOKUP(tblRiskRegister19[[#This Row],[Asset Class]],tblImpactIndex21[],3,FALSE)</f>
        <v>2</v>
      </c>
      <c r="V75" s="178">
        <f>VLOOKUP(tblRiskRegister19[[#This Row],[Asset Class]],tblImpactIndex21[],4,FALSE)</f>
        <v>3</v>
      </c>
      <c r="W75" s="178">
        <f>IFERROR(MAX(tblRiskRegister19[[#This Row],[Risk Treatment Safeguard Impact to Mission]:[Risk Treatment Safeguard Impact to Obligations]])*tblRiskRegister19[[#This Row],[Risk Treatment
Safeguard Expectancy Score]],"")</f>
        <v>9</v>
      </c>
      <c r="X75" s="178" t="str">
        <f>IF(tblRiskRegister19[[#This Row],[Risk Score]]&gt;5,IF(tblRiskRegister19[[#This Row],[Risk Treatment Safeguard Risk Score]]&lt;6, IF(tblRiskRegister19[[#This Row],[Risk Treatment Safeguard Risk Score]]&lt;=tblRiskRegister19[[#This Row],[Risk Score]],"Yes","No"),"No"),"Yes")</f>
        <v>No</v>
      </c>
      <c r="Y75" s="179"/>
      <c r="Z75" s="179"/>
      <c r="AA75" s="180"/>
      <c r="AB75" s="153"/>
      <c r="AC75" s="153"/>
      <c r="AD75" s="153"/>
      <c r="AE75" s="153"/>
    </row>
    <row r="76" spans="2:31" ht="76.5" x14ac:dyDescent="0.2">
      <c r="B76" s="29">
        <v>19.600000000000001</v>
      </c>
      <c r="C76" s="23" t="s">
        <v>45</v>
      </c>
      <c r="D76" s="214" t="s">
        <v>151</v>
      </c>
      <c r="E76" s="174">
        <v>3</v>
      </c>
      <c r="F76" s="175">
        <f>IFERROR(VLOOKUP(tblRiskRegister19[[#This Row],[Asset Class]],tblVCDBIndex[],4,FALSE),"")</f>
        <v>3</v>
      </c>
      <c r="G76" s="175">
        <f>IFERROR(VLOOKUP(10*tblRiskRegister19[[#This Row],[Safeguard Maturity Score]]+tblRiskRegister19[[#This Row],[VCDB Index]],tblHITIndexWeightTable[],4,FALSE),"")</f>
        <v>2</v>
      </c>
      <c r="H76" s="175">
        <f>VLOOKUP(tblRiskRegister19[[#This Row],[Asset Class]],tblImpactIndex21[],2,FALSE)</f>
        <v>2</v>
      </c>
      <c r="I76" s="175">
        <f>VLOOKUP(tblRiskRegister19[[#This Row],[Asset Class]],tblImpactIndex21[],3,FALSE)</f>
        <v>2</v>
      </c>
      <c r="J76" s="175">
        <f>VLOOKUP(tblRiskRegister19[[#This Row],[Asset Class]],tblImpactIndex21[],4,FALSE)</f>
        <v>3</v>
      </c>
      <c r="K76" s="175">
        <f>IFERROR(MAX(tblRiskRegister19[[#This Row],[Impact to Mission]:[Impact to Obligations]])*tblRiskRegister19[[#This Row],[Expectancy Score]],"")</f>
        <v>6</v>
      </c>
      <c r="L76" s="175">
        <f>tblRiskRegister19[[#This Row],[Risk Score]]</f>
        <v>6</v>
      </c>
      <c r="M76" s="176" t="s">
        <v>268</v>
      </c>
      <c r="N76" s="29">
        <v>19.600000000000001</v>
      </c>
      <c r="O76" s="24" t="s">
        <v>45</v>
      </c>
      <c r="P76" s="24" t="s">
        <v>208</v>
      </c>
      <c r="Q76" s="174"/>
      <c r="R76" s="174">
        <v>3</v>
      </c>
      <c r="S76" s="178">
        <f>IFERROR(VLOOKUP(10*tblRiskRegister19[[#This Row],[Risk Treatment Safeguard Maturity Score]]+tblRiskRegister19[[#This Row],[VCDB Index]],tblHITIndexWeightTable[],4,FALSE),"")</f>
        <v>2</v>
      </c>
      <c r="T76" s="178">
        <f>VLOOKUP(tblRiskRegister19[[#This Row],[Asset Class]],tblImpactIndex21[],2,FALSE)</f>
        <v>2</v>
      </c>
      <c r="U76" s="178">
        <f>VLOOKUP(tblRiskRegister19[[#This Row],[Asset Class]],tblImpactIndex21[],3,FALSE)</f>
        <v>2</v>
      </c>
      <c r="V76" s="178">
        <f>VLOOKUP(tblRiskRegister19[[#This Row],[Asset Class]],tblImpactIndex21[],4,FALSE)</f>
        <v>3</v>
      </c>
      <c r="W76" s="178">
        <f>IFERROR(MAX(tblRiskRegister19[[#This Row],[Risk Treatment Safeguard Impact to Mission]:[Risk Treatment Safeguard Impact to Obligations]])*tblRiskRegister19[[#This Row],[Risk Treatment
Safeguard Expectancy Score]],"")</f>
        <v>6</v>
      </c>
      <c r="X76" s="178" t="str">
        <f>IF(tblRiskRegister19[[#This Row],[Risk Score]]&gt;5,IF(tblRiskRegister19[[#This Row],[Risk Treatment Safeguard Risk Score]]&lt;6, IF(tblRiskRegister19[[#This Row],[Risk Treatment Safeguard Risk Score]]&lt;=tblRiskRegister19[[#This Row],[Risk Score]],"Yes","No"),"No"),"Yes")</f>
        <v>No</v>
      </c>
      <c r="Y76" s="179"/>
      <c r="Z76" s="179"/>
      <c r="AA76" s="180"/>
      <c r="AB76" s="153"/>
      <c r="AC76" s="153"/>
      <c r="AD76" s="153"/>
      <c r="AE76" s="153"/>
    </row>
  </sheetData>
  <sheetProtection sheet="1" formatCells="0" formatColumns="0" formatRows="0" sort="0" autoFilter="0" pivotTables="0"/>
  <mergeCells count="13">
    <mergeCell ref="AC31:AE31"/>
    <mergeCell ref="N31:AA31"/>
    <mergeCell ref="B2:B4"/>
    <mergeCell ref="D2:E2"/>
    <mergeCell ref="D3:E3"/>
    <mergeCell ref="D4:E4"/>
    <mergeCell ref="C8:F8"/>
    <mergeCell ref="C18:E18"/>
    <mergeCell ref="H18:H26"/>
    <mergeCell ref="F20:G20"/>
    <mergeCell ref="F21:G26"/>
    <mergeCell ref="C31:L31"/>
    <mergeCell ref="H8:N11"/>
  </mergeCells>
  <conditionalFormatting sqref="L34:M76">
    <cfRule type="iconSet" priority="1">
      <iconSet showValue="0" reverse="1">
        <cfvo type="percent" val="0"/>
        <cfvo type="num" val="6"/>
        <cfvo type="num" val="6" gte="0"/>
      </iconSet>
    </cfRule>
    <cfRule type="iconSet" priority="2">
      <iconSet showValue="0" reverse="1">
        <cfvo type="percent" val="0"/>
        <cfvo type="num" val="6"/>
        <cfvo type="num" val="15"/>
      </iconSet>
    </cfRule>
    <cfRule type="iconSet" priority="3">
      <iconSet>
        <cfvo type="percent" val="0"/>
        <cfvo type="percent" val="33"/>
        <cfvo type="percent" val="67"/>
      </iconSet>
    </cfRule>
  </conditionalFormatting>
  <dataValidations count="6">
    <dataValidation type="list" allowBlank="1" showInputMessage="1" showErrorMessage="1" sqref="M34:M76" xr:uid="{C914A37F-B1EC-4B23-82FF-64B61F27E33D}">
      <formula1>"Accept,Reduce"</formula1>
    </dataValidation>
    <dataValidation type="list" allowBlank="1" showInputMessage="1" showErrorMessage="1" sqref="C21:E26" xr:uid="{D311E7D3-38F9-43DC-8FDF-66065B051F58}">
      <formula1>"1,2,3"</formula1>
    </dataValidation>
    <dataValidation type="list" allowBlank="1" showInputMessage="1" showErrorMessage="1" sqref="Z34:Z76" xr:uid="{7025ADA1-D975-42A3-9C05-DD9ADEF3315B}">
      <formula1>"Q1, Q2, Q3, Q4"</formula1>
    </dataValidation>
    <dataValidation type="list" allowBlank="1" showInputMessage="1" showErrorMessage="1" sqref="D34:D76" xr:uid="{DA6CEA2F-74E6-4F2D-A8B3-6B999E0900DE}">
      <formula1>Asset_Class</formula1>
    </dataValidation>
    <dataValidation type="list" allowBlank="1" showInputMessage="1" showErrorMessage="1" sqref="AA34:AA76" xr:uid="{3F3EDC9F-0AC8-4048-8212-D8859E70B976}">
      <formula1>"2021,2022,2023,2024,2025,2026,2027,2028,2029,2030,2031"</formula1>
    </dataValidation>
    <dataValidation type="list" allowBlank="1" showInputMessage="1" showErrorMessage="1" sqref="E34:E76 Q42:R76 R34:R41" xr:uid="{1D7DA1FE-744E-466C-9DDF-4F3E608B917B}">
      <formula1>Maturity_Score</formula1>
    </dataValidation>
  </dataValidations>
  <pageMargins left="0.7" right="0.7" top="0.75" bottom="0.75" header="0.3" footer="0.3"/>
  <pageSetup orientation="portrait" r:id="rId1"/>
  <legacy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z K K x 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M y i s 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o r F S K I p H u A 4 A A A A R A A A A E w A c A E Z v c m 1 1 b G F z L 1 N l Y 3 R p b 2 4 x L m 0 g o h g A K K A U A A A A A A A A A A A A A A A A A A A A A A A A A A A A K 0 5 N L s n M z 1 M I h t C G 1 g B Q S w E C L Q A U A A I A C A D M o r F S j Q a H k K I A A A D 1 A A A A E g A A A A A A A A A A A A A A A A A A A A A A Q 2 9 u Z m l n L 1 B h Y 2 t h Z 2 U u e G 1 s U E s B A i 0 A F A A C A A g A z K K x U g / K 6 a u k A A A A 6 Q A A A B M A A A A A A A A A A A A A A A A A 7 g A A A F t D b 2 5 0 Z W 5 0 X 1 R 5 c G V z X S 5 4 b W x Q S w E C L Q A U A A I A C A D M o r F 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Z 8 g c q M 9 X E i p l U O 3 7 R 9 g x Q A A A A A C A A A A A A A D Z g A A w A A A A B A A A A A H i 9 w m O f Z 6 L f 7 X L g 6 v L 5 + F A A A A A A S A A A C g A A A A E A A A A F J v l B D T z 5 P Z 8 D j w b h P o B A 9 Q A A A A I o g J A Q V 3 1 3 Z t 6 / 7 T c e N P k L M h r + J M R Q w h x s L Z y k 6 g a d g 4 N n K Q a d l T j R 5 P Q V A 9 P v C 2 W F j + 2 J 7 I I Z q O 4 L H T 7 K f 9 6 W p X m + 8 H c Q g W 8 m v 7 4 D U + j P 4 U A A A A D 4 F M V z y z W 5 R h F e 4 I Y L G W N g X z 0 f 0 = < / D a t a M a s h u p > 
</file>

<file path=customXml/itemProps1.xml><?xml version="1.0" encoding="utf-8"?>
<ds:datastoreItem xmlns:ds="http://schemas.openxmlformats.org/officeDocument/2006/customXml" ds:itemID="{76807C70-5236-41F0-9881-3A6C1B85CF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Cover</vt:lpstr>
      <vt:lpstr>CIS Controls Resources</vt:lpstr>
      <vt:lpstr>Risk Register Controls v7.1-IG1</vt:lpstr>
      <vt:lpstr>Risk Register Controls v8 - IG1</vt:lpstr>
      <vt:lpstr>Legend</vt:lpstr>
      <vt:lpstr>Lookup Tables</vt:lpstr>
      <vt:lpstr>CIS CSAT Pro</vt:lpstr>
      <vt:lpstr>CIS-Hosted CSAT</vt:lpstr>
      <vt:lpstr>Risk Register 7.1 - EXAMPLE</vt:lpstr>
      <vt:lpstr>CIS CSAT Pro - EXAMPLE</vt:lpstr>
      <vt:lpstr>CIS-Hosted CSAT - EXAMPLE</vt:lpstr>
      <vt:lpstr>'CIS CSAT Pro'!_Hlk82606169</vt:lpstr>
      <vt:lpstr>'Risk Register 7.1 - EXAMPLE'!Asset_Class</vt:lpstr>
      <vt:lpstr>'Risk Register Controls v7.1-IG1'!Asset_Class</vt:lpstr>
      <vt:lpstr>'Risk Register Controls v8 - IG1'!Asset_Class</vt:lpstr>
      <vt:lpstr>'Risk Register 7.1 - EXAMPLE'!Industry</vt:lpstr>
      <vt:lpstr>'Risk Register Controls v8 - IG1'!Industry</vt:lpstr>
      <vt:lpstr>Industry</vt:lpstr>
      <vt:lpstr>'CIS CSAT Pro'!Industry_2</vt:lpstr>
      <vt:lpstr>'CIS-Hosted CSAT - EXAMPLE'!Industry_2</vt:lpstr>
      <vt:lpstr>Industry_2</vt:lpstr>
      <vt:lpstr>'Risk Register 7.1 - EXAMPLE'!Maturity_Score</vt:lpstr>
      <vt:lpstr>'Risk Register Controls v8 - IG1'!Maturity_Score</vt:lpstr>
      <vt:lpstr>Maturity_Score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Cronin</dc:creator>
  <cp:lastModifiedBy>Valecia Stocchetti</cp:lastModifiedBy>
  <dcterms:created xsi:type="dcterms:W3CDTF">2019-10-25T13:04:24Z</dcterms:created>
  <dcterms:modified xsi:type="dcterms:W3CDTF">2022-01-10T17:18:40Z</dcterms:modified>
</cp:coreProperties>
</file>