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cdud-my.sharepoint.com/personal/moclairn_tcd_ie/Documents/Modules/4th Year/FYP/"/>
    </mc:Choice>
  </mc:AlternateContent>
  <xr:revisionPtr revIDLastSave="4712" documentId="8_{18FFFD0E-DFD4-F945-9DA3-F14D9DF9BF21}" xr6:coauthVersionLast="47" xr6:coauthVersionMax="47" xr10:uidLastSave="{2C2C6951-2FEB-2940-BC8F-13E6FA3086C5}"/>
  <bookViews>
    <workbookView xWindow="0" yWindow="500" windowWidth="28800" windowHeight="16460" xr2:uid="{2FEDE500-3C3D-9946-B279-839AC63EC843}"/>
  </bookViews>
  <sheets>
    <sheet name="Lawson" sheetId="1" r:id="rId1"/>
    <sheet name="Matthews" sheetId="5" r:id="rId2"/>
    <sheet name="Mullen" sheetId="9" r:id="rId3"/>
    <sheet name=" Journal + Conferences" sheetId="2" r:id="rId4"/>
    <sheet name="Database" sheetId="7" r:id="rId5"/>
    <sheet name="Summary" sheetId="13" r:id="rId6"/>
    <sheet name="Terminology Sampling" sheetId="14" r:id="rId7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0" i="2" l="1"/>
  <c r="G69" i="9"/>
  <c r="G60" i="5"/>
  <c r="G124" i="1"/>
  <c r="K43" i="1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3" i="13"/>
  <c r="J34" i="13"/>
  <c r="J32" i="13"/>
  <c r="J35" i="13"/>
  <c r="J36" i="13"/>
  <c r="J37" i="13"/>
  <c r="J38" i="13"/>
  <c r="J40" i="13"/>
  <c r="J39" i="13"/>
  <c r="J41" i="13"/>
  <c r="J42" i="13"/>
  <c r="J43" i="13"/>
  <c r="J16" i="13"/>
  <c r="J15" i="13"/>
  <c r="J14" i="13"/>
  <c r="B9" i="13"/>
  <c r="J84" i="14"/>
  <c r="B3" i="14" a="1"/>
  <c r="B3" i="14" s="1"/>
  <c r="B4" i="14" a="1"/>
  <c r="B4" i="14" s="1"/>
  <c r="C6" i="14" a="1"/>
  <c r="C6" i="14" s="1"/>
  <c r="B6" i="14" a="1"/>
  <c r="B6" i="14" s="1"/>
  <c r="C9" i="14" a="1"/>
  <c r="C9" i="14" s="1"/>
  <c r="B9" i="14" a="1"/>
  <c r="B9" i="14" s="1"/>
  <c r="C8" i="14" a="1"/>
  <c r="C8" i="14" s="1"/>
  <c r="B8" i="14" a="1"/>
  <c r="B8" i="14" s="1"/>
  <c r="C7" i="14" a="1"/>
  <c r="C7" i="14" s="1"/>
  <c r="B7" i="14" a="1"/>
  <c r="B7" i="14" s="1"/>
  <c r="C5" i="14" a="1"/>
  <c r="C5" i="14" s="1"/>
  <c r="B5" i="14" a="1"/>
  <c r="B5" i="14" s="1"/>
  <c r="C4" i="14" a="1"/>
  <c r="C4" i="14" s="1"/>
  <c r="C3" i="14" a="1"/>
  <c r="C3" i="14" s="1"/>
  <c r="S62" i="14"/>
  <c r="S39" i="14"/>
  <c r="S24" i="14"/>
  <c r="J116" i="14"/>
  <c r="J38" i="14"/>
  <c r="A130" i="14"/>
  <c r="K44" i="2"/>
  <c r="K31" i="1"/>
  <c r="K28" i="1"/>
  <c r="K22" i="2"/>
  <c r="K24" i="2"/>
  <c r="P19" i="2"/>
  <c r="O19" i="2"/>
  <c r="N19" i="2"/>
  <c r="M19" i="2"/>
  <c r="K19" i="2"/>
  <c r="L11" i="2"/>
  <c r="L15" i="2" s="1"/>
  <c r="U15" i="2"/>
  <c r="T15" i="2"/>
  <c r="S15" i="2"/>
  <c r="R15" i="2"/>
  <c r="Q15" i="2"/>
  <c r="P15" i="2"/>
  <c r="O15" i="2"/>
  <c r="U11" i="2"/>
  <c r="T11" i="2"/>
  <c r="S11" i="2"/>
  <c r="R11" i="2"/>
  <c r="Q11" i="2"/>
  <c r="P11" i="2"/>
  <c r="O11" i="2"/>
  <c r="U5" i="2"/>
  <c r="T5" i="2"/>
  <c r="S5" i="2"/>
  <c r="R5" i="2"/>
  <c r="Q5" i="2"/>
  <c r="P5" i="2"/>
  <c r="N5" i="2"/>
  <c r="N11" i="2" s="1"/>
  <c r="N15" i="2" s="1"/>
  <c r="M5" i="2"/>
  <c r="M15" i="2" s="1"/>
  <c r="L5" i="2"/>
  <c r="K5" i="2"/>
  <c r="K11" i="2" s="1"/>
  <c r="K29" i="2"/>
  <c r="K31" i="2"/>
  <c r="K32" i="2"/>
  <c r="K33" i="2"/>
  <c r="K36" i="2"/>
  <c r="K37" i="2"/>
  <c r="K38" i="2"/>
  <c r="K39" i="2"/>
  <c r="K40" i="2"/>
  <c r="K41" i="2"/>
  <c r="K42" i="2"/>
  <c r="K45" i="2"/>
  <c r="K76" i="2"/>
  <c r="K50" i="2"/>
  <c r="K51" i="2"/>
  <c r="K52" i="2"/>
  <c r="K53" i="2"/>
  <c r="K43" i="2" s="1"/>
  <c r="K54" i="2"/>
  <c r="K55" i="2"/>
  <c r="K56" i="2"/>
  <c r="K57" i="2"/>
  <c r="K58" i="2"/>
  <c r="K59" i="2"/>
  <c r="K61" i="2"/>
  <c r="K75" i="2"/>
  <c r="K47" i="2"/>
  <c r="K35" i="2"/>
  <c r="K49" i="2"/>
  <c r="K21" i="7"/>
  <c r="K19" i="7"/>
  <c r="O11" i="7"/>
  <c r="O5" i="7"/>
  <c r="N5" i="7"/>
  <c r="M5" i="7"/>
  <c r="L5" i="7"/>
  <c r="K21" i="9"/>
  <c r="T15" i="9"/>
  <c r="S15" i="9"/>
  <c r="R15" i="9"/>
  <c r="Q15" i="9"/>
  <c r="P15" i="9"/>
  <c r="O15" i="9"/>
  <c r="N15" i="9"/>
  <c r="M15" i="9"/>
  <c r="L15" i="9"/>
  <c r="K15" i="9"/>
  <c r="O11" i="9"/>
  <c r="N11" i="9"/>
  <c r="U11" i="9" s="1"/>
  <c r="M11" i="9"/>
  <c r="L11" i="9"/>
  <c r="K11" i="9"/>
  <c r="T5" i="9"/>
  <c r="S5" i="9"/>
  <c r="R5" i="9"/>
  <c r="Q5" i="9"/>
  <c r="P5" i="9"/>
  <c r="O5" i="9"/>
  <c r="N5" i="9"/>
  <c r="M5" i="9"/>
  <c r="L5" i="9"/>
  <c r="K5" i="9"/>
  <c r="U5" i="9" s="1"/>
  <c r="K19" i="9" s="1"/>
  <c r="K36" i="1"/>
  <c r="O5" i="2"/>
  <c r="K24" i="5"/>
  <c r="N15" i="5"/>
  <c r="M15" i="5"/>
  <c r="L15" i="5"/>
  <c r="K15" i="5"/>
  <c r="O15" i="5"/>
  <c r="N11" i="5"/>
  <c r="L11" i="5"/>
  <c r="M11" i="5"/>
  <c r="K11" i="5"/>
  <c r="O11" i="5"/>
  <c r="L5" i="5"/>
  <c r="K5" i="5"/>
  <c r="O5" i="5"/>
  <c r="N5" i="5"/>
  <c r="M5" i="5"/>
  <c r="K64" i="1"/>
  <c r="K63" i="1"/>
  <c r="K62" i="1"/>
  <c r="K61" i="1"/>
  <c r="K45" i="1"/>
  <c r="K60" i="1"/>
  <c r="K58" i="1"/>
  <c r="K35" i="1"/>
  <c r="K57" i="1"/>
  <c r="K56" i="1"/>
  <c r="K55" i="1"/>
  <c r="K54" i="1"/>
  <c r="K53" i="1"/>
  <c r="K52" i="1"/>
  <c r="K51" i="1"/>
  <c r="K42" i="1"/>
  <c r="K30" i="1"/>
  <c r="K47" i="1"/>
  <c r="K39" i="1"/>
  <c r="K34" i="1"/>
  <c r="K38" i="1"/>
  <c r="K29" i="1"/>
  <c r="K37" i="1"/>
  <c r="K33" i="1"/>
  <c r="K32" i="1"/>
  <c r="N18" i="1"/>
  <c r="M18" i="1"/>
  <c r="L18" i="1"/>
  <c r="K18" i="1"/>
  <c r="N14" i="1"/>
  <c r="K14" i="1"/>
  <c r="L14" i="1"/>
  <c r="M14" i="1"/>
  <c r="O14" i="1"/>
  <c r="K23" i="1"/>
  <c r="N10" i="1"/>
  <c r="M10" i="1"/>
  <c r="L10" i="1"/>
  <c r="K10" i="1"/>
  <c r="O10" i="1"/>
  <c r="K5" i="1"/>
  <c r="P5" i="1" s="1"/>
  <c r="K21" i="1" s="1"/>
  <c r="O5" i="1"/>
  <c r="N5" i="1"/>
  <c r="M5" i="1"/>
  <c r="L5" i="1"/>
  <c r="K44" i="1" l="1"/>
  <c r="K46" i="1"/>
  <c r="K48" i="1"/>
  <c r="K65" i="1"/>
  <c r="K49" i="1"/>
  <c r="K50" i="1"/>
  <c r="K15" i="2"/>
  <c r="V15" i="2" s="1"/>
  <c r="M11" i="2"/>
  <c r="V11" i="2" s="1"/>
  <c r="U15" i="9"/>
  <c r="K41" i="1"/>
  <c r="V5" i="2"/>
  <c r="P5" i="5"/>
  <c r="K59" i="1"/>
  <c r="P15" i="5"/>
  <c r="P11" i="5"/>
  <c r="P14" i="1"/>
  <c r="P10" i="1"/>
  <c r="K62" i="2"/>
  <c r="K30" i="2" s="1"/>
  <c r="K63" i="2"/>
  <c r="K48" i="2"/>
  <c r="K70" i="2"/>
  <c r="K69" i="2"/>
  <c r="K60" i="2"/>
  <c r="K46" i="2"/>
  <c r="K67" i="2"/>
  <c r="K73" i="2"/>
  <c r="K74" i="2"/>
  <c r="K66" i="2"/>
  <c r="K68" i="2"/>
  <c r="K72" i="2"/>
  <c r="K65" i="2"/>
  <c r="K71" i="2"/>
  <c r="K64" i="2"/>
  <c r="K34" i="2"/>
  <c r="P11" i="7"/>
  <c r="P15" i="7"/>
  <c r="P5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<sst xmlns="http://schemas.openxmlformats.org/spreadsheetml/2006/main" count="3644" uniqueCount="597">
  <si>
    <t>Article ID</t>
  </si>
  <si>
    <t>First Author Location</t>
  </si>
  <si>
    <t>Year</t>
  </si>
  <si>
    <t>Keywords</t>
  </si>
  <si>
    <t>Source</t>
  </si>
  <si>
    <t>First Author</t>
  </si>
  <si>
    <t>Lawson</t>
  </si>
  <si>
    <t>UK</t>
  </si>
  <si>
    <t>IJMEST</t>
  </si>
  <si>
    <t>Mathematics support, literature review, impact, evaluation</t>
  </si>
  <si>
    <t>ABPI</t>
  </si>
  <si>
    <t>N/A</t>
  </si>
  <si>
    <t>ACME</t>
  </si>
  <si>
    <t>Ahmed</t>
  </si>
  <si>
    <t>Alpers</t>
  </si>
  <si>
    <t>Barnard</t>
  </si>
  <si>
    <t>Batchelor</t>
  </si>
  <si>
    <t>BBC</t>
  </si>
  <si>
    <t>BBSRC</t>
  </si>
  <si>
    <t>Berry</t>
  </si>
  <si>
    <t>Beveridge</t>
  </si>
  <si>
    <t>Bishop</t>
  </si>
  <si>
    <t>Blunkett</t>
  </si>
  <si>
    <t>Breen</t>
  </si>
  <si>
    <t>British Academy</t>
  </si>
  <si>
    <t>Bunce</t>
  </si>
  <si>
    <t>Cliffe</t>
  </si>
  <si>
    <t>Croft</t>
  </si>
  <si>
    <t>Cronin</t>
  </si>
  <si>
    <t>Curley</t>
  </si>
  <si>
    <t>Delderfield</t>
  </si>
  <si>
    <t>DfE</t>
  </si>
  <si>
    <t>Dzator</t>
  </si>
  <si>
    <t>Fitzmaurice</t>
  </si>
  <si>
    <t>Fletcher</t>
  </si>
  <si>
    <t>Foster</t>
  </si>
  <si>
    <t>Gadsden</t>
  </si>
  <si>
    <t>Gallimore</t>
  </si>
  <si>
    <t>Gill</t>
  </si>
  <si>
    <t>Gillard</t>
  </si>
  <si>
    <t>Gordon</t>
  </si>
  <si>
    <t>Gove</t>
  </si>
  <si>
    <t>Grehan</t>
  </si>
  <si>
    <t>Grove</t>
  </si>
  <si>
    <t>Hawkes</t>
  </si>
  <si>
    <t>Hillock</t>
  </si>
  <si>
    <t>Hodgen</t>
  </si>
  <si>
    <t>House of Lords</t>
  </si>
  <si>
    <t>Hymas</t>
  </si>
  <si>
    <t>Ireland</t>
  </si>
  <si>
    <t>Jackson</t>
  </si>
  <si>
    <t>Jacob</t>
  </si>
  <si>
    <t>Kent</t>
  </si>
  <si>
    <t>Kyle</t>
  </si>
  <si>
    <t>Lingham</t>
  </si>
  <si>
    <t>Little</t>
  </si>
  <si>
    <t>LMS</t>
  </si>
  <si>
    <t>Mac an Bhaird</t>
  </si>
  <si>
    <t>MacGillivray</t>
  </si>
  <si>
    <t>Matthews</t>
  </si>
  <si>
    <t>Mehbali</t>
  </si>
  <si>
    <t>Mojab</t>
  </si>
  <si>
    <t>Morgan</t>
  </si>
  <si>
    <t>Mulligan</t>
  </si>
  <si>
    <t>National Audit Office</t>
  </si>
  <si>
    <t>NCCA</t>
  </si>
  <si>
    <t>Ní Fhloinn</t>
  </si>
  <si>
    <t>Norris</t>
  </si>
  <si>
    <t>O'Sullivan</t>
  </si>
  <si>
    <t>Parsons</t>
  </si>
  <si>
    <t>Pell</t>
  </si>
  <si>
    <t>International Collaboration</t>
  </si>
  <si>
    <t>Perkin</t>
  </si>
  <si>
    <t>Pfeiffer</t>
  </si>
  <si>
    <t>Pitcher</t>
  </si>
  <si>
    <t>Robinson</t>
  </si>
  <si>
    <t>Rossiter</t>
  </si>
  <si>
    <t>Rylands</t>
  </si>
  <si>
    <t>Samuels</t>
  </si>
  <si>
    <t>Schwenke</t>
  </si>
  <si>
    <t>Smith</t>
  </si>
  <si>
    <t>Solomon</t>
  </si>
  <si>
    <t>Starkings</t>
  </si>
  <si>
    <t>Sutherland</t>
  </si>
  <si>
    <t>Symonds</t>
  </si>
  <si>
    <t>TARGETjobs</t>
  </si>
  <si>
    <t>Tariq</t>
  </si>
  <si>
    <t>Tolley</t>
  </si>
  <si>
    <t>Trott</t>
  </si>
  <si>
    <t>Voake-Jones</t>
  </si>
  <si>
    <t>Walsh</t>
  </si>
  <si>
    <t>Wilkins</t>
  </si>
  <si>
    <t>Wolf</t>
  </si>
  <si>
    <t>Woodhouse</t>
  </si>
  <si>
    <t>MSORC</t>
  </si>
  <si>
    <t>SEFI</t>
  </si>
  <si>
    <t>The Guardian</t>
  </si>
  <si>
    <t>IMA</t>
  </si>
  <si>
    <t>Math Support Newsletter</t>
  </si>
  <si>
    <t>The Stationery Office</t>
  </si>
  <si>
    <t>Studies in Higher Education</t>
  </si>
  <si>
    <t>University of Birmingham</t>
  </si>
  <si>
    <t>Queensland University of Technology</t>
  </si>
  <si>
    <t>sigma</t>
  </si>
  <si>
    <t>UCD</t>
  </si>
  <si>
    <t>National Forum for the Enhancement of Teaching and Learning in Higher Education</t>
  </si>
  <si>
    <t>British Society for Research into Learning Mathematics</t>
  </si>
  <si>
    <t>Journal of Learning Development in Higher Education</t>
  </si>
  <si>
    <t>International Journal of Research in Undergraduate Mathematics Education</t>
  </si>
  <si>
    <t>The Engineering Council</t>
  </si>
  <si>
    <t>Nuffield Foundation</t>
  </si>
  <si>
    <t>The Sunday Times</t>
  </si>
  <si>
    <t>Int J Innovation in Science and Mathematics Education</t>
  </si>
  <si>
    <t>Maths, Stats &amp; OR Network</t>
  </si>
  <si>
    <t>CERME</t>
  </si>
  <si>
    <t>The London Mathematical Society</t>
  </si>
  <si>
    <t>The Australian Learning and Teaching Council</t>
  </si>
  <si>
    <t>Australian Council of Deans of Science</t>
  </si>
  <si>
    <t>London Institute of Physics</t>
  </si>
  <si>
    <t>London Royal Society of Arts</t>
  </si>
  <si>
    <t>National Centre for Excellence in Mathematics and Science Teaching and Learning</t>
  </si>
  <si>
    <t>Fish4Jobs</t>
  </si>
  <si>
    <t>Gender and Education</t>
  </si>
  <si>
    <t>University of Bristol</t>
  </si>
  <si>
    <t>Journal of Academic Language and Learning</t>
  </si>
  <si>
    <t>The Independent</t>
  </si>
  <si>
    <t>MSS</t>
  </si>
  <si>
    <t>Y</t>
  </si>
  <si>
    <t>N</t>
  </si>
  <si>
    <t>Mathematics Support, Statistics Support, Higher Education, Scotland</t>
  </si>
  <si>
    <t>Germany</t>
  </si>
  <si>
    <t>Haddley</t>
  </si>
  <si>
    <t>Generative AI, Assessment, Higher Education</t>
  </si>
  <si>
    <t>Saha</t>
  </si>
  <si>
    <t>Transition to university, student community, welcome event, orientation event, first year students</t>
  </si>
  <si>
    <t>Shearman</t>
  </si>
  <si>
    <t>Australia</t>
  </si>
  <si>
    <t>FYiMaths, mathematics education, statistics education</t>
  </si>
  <si>
    <t>Rollings</t>
  </si>
  <si>
    <t>statistics, language</t>
  </si>
  <si>
    <t>Goodale</t>
  </si>
  <si>
    <t>statistical test selection, ChatGPT, generative AI, prompt engineering</t>
  </si>
  <si>
    <t>higher education, statistics anxiety, flexible curriculum, student engagement, undergraduate statistics</t>
  </si>
  <si>
    <t>Kuveke</t>
  </si>
  <si>
    <t>diagnostic tool, mathematics refresher program, knowledge map, item analysis, Numbas</t>
  </si>
  <si>
    <t>engagement, interactivity, formative assessment, adaptive teaching, student ownership</t>
  </si>
  <si>
    <t>Brewer</t>
  </si>
  <si>
    <t>Fairfax</t>
  </si>
  <si>
    <t>student community, student engagement, belonging, internationalisation</t>
  </si>
  <si>
    <t>mathematics support, academic coaching, approaches to mathematics support</t>
  </si>
  <si>
    <t>Hurley</t>
  </si>
  <si>
    <t>Richard</t>
  </si>
  <si>
    <t>mathematics education; co-creation pedagogy; community of practice; zone of proximal development</t>
  </si>
  <si>
    <t>Masterson</t>
  </si>
  <si>
    <t>authentic assessment,mathematics education</t>
  </si>
  <si>
    <t>Mathematics Learning Support, secondary school, teaching practice, evaluation, effectiveness</t>
  </si>
  <si>
    <t>mathematics and statistics teaching support, teaching collaborations, communities of practice, consultancy</t>
  </si>
  <si>
    <t>Bailey</t>
  </si>
  <si>
    <t>calculus, undergraduate, mathematics, cross-disciplinary, student perception</t>
  </si>
  <si>
    <t>Cameron</t>
  </si>
  <si>
    <t>New Zealand</t>
  </si>
  <si>
    <t>Foundation mathematics, self-efficacy, blended, computer-aided assessment, STACK</t>
  </si>
  <si>
    <t>maths and stats support, online student support, sigmaNetwork, post COVID-19 pandemic</t>
  </si>
  <si>
    <t>Pawley</t>
  </si>
  <si>
    <t>Czechia</t>
  </si>
  <si>
    <t>Rebenda</t>
  </si>
  <si>
    <t>Mathematics support, statistics support, European collaboration, mathematics support network</t>
  </si>
  <si>
    <t>USA</t>
  </si>
  <si>
    <t>Parkes</t>
  </si>
  <si>
    <t>Mullen</t>
  </si>
  <si>
    <t>Mathematics and statistics support</t>
  </si>
  <si>
    <t>Mills</t>
  </si>
  <si>
    <t>Byerley</t>
  </si>
  <si>
    <t>Journal of College Reading and Learning</t>
  </si>
  <si>
    <t>student-as-consumer, learner identity, academic performance, grade goal, tutition fees</t>
  </si>
  <si>
    <t>Mathematics support, tutor training, support centre, postgraduate tutors</t>
  </si>
  <si>
    <t>Mathematics support, progression, retention, statistics support, strategies for success</t>
  </si>
  <si>
    <t>Mathematics education, mathematics support, digital support, learning technology</t>
  </si>
  <si>
    <t>Mathematics, learning support, Ireland, survey, higher education</t>
  </si>
  <si>
    <t>Mathematics support centre, basic mathematical problem areas, data collection, collaborative work with tutors, evidence based approach</t>
  </si>
  <si>
    <t>Learning developer, maths support, person-centred, maths advice, one-to-one, academic skills, congruence, unconditional positive regard, empathy</t>
  </si>
  <si>
    <t>Higher education, Mathematics and Numeracy Curriculum and Pedagogy, Free student support services, Mathematics learning, Statistics Learning, Tertiary education, The Mathenatics and Statistics Support centre (MSSC), Academic Learning Centre (ALC)</t>
  </si>
  <si>
    <t>Mathematics learning support, tutor training</t>
  </si>
  <si>
    <t>Mathematics problem, database, diagnostic testing, mathematics learning centre</t>
  </si>
  <si>
    <t>Mathematics support, engagement, critical event, fear, motivation, social factors</t>
  </si>
  <si>
    <t>Maths, Stats &amp; OR Network, mathematics education, teaching and learning, mathematics support</t>
  </si>
  <si>
    <t>Mathematics support, postgraduate tutors, community of practice</t>
  </si>
  <si>
    <t>Mathematics support, peer support, postgraduate tutors, dialogue</t>
  </si>
  <si>
    <t>first-year engineering mathematics, support programme, at-risk</t>
  </si>
  <si>
    <t>Mathematics support, science, quantitative skills, first year</t>
  </si>
  <si>
    <t>Mathematical skills, mathematics support, science, quantitative skills, relevance</t>
  </si>
  <si>
    <t>Mathematics support, centre for excellence, sustainability</t>
  </si>
  <si>
    <t>Educational objectives, mathematics support, taxonomy, tertiary education</t>
  </si>
  <si>
    <t>numerical, employability, graduate, collaboration, psychometric</t>
  </si>
  <si>
    <t>medicine dosage calculations numeracy, nursing numeracy learning enhancement</t>
  </si>
  <si>
    <t>learning support, numeracy, mathematics, statistics, student progression</t>
  </si>
  <si>
    <t>Mathematics support, statistics support, learning support, evaluation, progression, retention</t>
  </si>
  <si>
    <t>Maths support, embedded classes, learning development</t>
  </si>
  <si>
    <t>Tutor, Full-time, Mathematics Support, Higher Education, student retention, STEM</t>
  </si>
  <si>
    <t>Mathematics support, impact, retention, confidence, students</t>
  </si>
  <si>
    <t>Gender, mathematics, support, engagement, attendance, opinions</t>
  </si>
  <si>
    <t>Maths support, tutors, tutor training</t>
  </si>
  <si>
    <t>Mathematics, support, engagement, first-year</t>
  </si>
  <si>
    <t>First-year, mathematics, learning support, engagement, placement test</t>
  </si>
  <si>
    <t>Mathematics, undergraduates, learner identities, self-positioning, resistance</t>
  </si>
  <si>
    <t>Student employment, mathematics support, vocational entry</t>
  </si>
  <si>
    <t>Mathematics tutor training, pedagogical content knowledge, tertiary mathematics education, video analysis</t>
  </si>
  <si>
    <t>Learning development, mathematics support, mathematics confidence</t>
  </si>
  <si>
    <t>Countries</t>
  </si>
  <si>
    <t>No. of References</t>
  </si>
  <si>
    <r>
      <t xml:space="preserve">No. of </t>
    </r>
    <r>
      <rPr>
        <b/>
        <sz val="12"/>
        <color theme="1"/>
        <rFont val="Times New Roman"/>
        <family val="1"/>
      </rPr>
      <t>MSS</t>
    </r>
    <r>
      <rPr>
        <sz val="12"/>
        <color theme="1"/>
        <rFont val="Times New Roman"/>
        <family val="1"/>
      </rPr>
      <t xml:space="preserve"> References</t>
    </r>
  </si>
  <si>
    <t>Total</t>
  </si>
  <si>
    <t>Average Year of Publication</t>
  </si>
  <si>
    <r>
      <t xml:space="preserve">No. of </t>
    </r>
    <r>
      <rPr>
        <b/>
        <sz val="12"/>
        <color theme="1"/>
        <rFont val="Times New Roman"/>
        <family val="1"/>
      </rPr>
      <t>MSS</t>
    </r>
    <r>
      <rPr>
        <sz val="12"/>
        <color theme="1"/>
        <rFont val="Times New Roman"/>
        <family val="1"/>
      </rPr>
      <t xml:space="preserve"> References with </t>
    </r>
    <r>
      <rPr>
        <b/>
        <sz val="12"/>
        <color theme="1"/>
        <rFont val="Times New Roman"/>
        <family val="1"/>
      </rPr>
      <t>Keywords</t>
    </r>
  </si>
  <si>
    <t>Sources</t>
  </si>
  <si>
    <t>Math SN</t>
  </si>
  <si>
    <t>Most Frequent Keywords</t>
  </si>
  <si>
    <t>Mathematics support</t>
  </si>
  <si>
    <t>Literature Review</t>
  </si>
  <si>
    <t>Impact</t>
  </si>
  <si>
    <t>Evaluation</t>
  </si>
  <si>
    <t>Statistics support</t>
  </si>
  <si>
    <t>Higher education</t>
  </si>
  <si>
    <t>Academic Performance</t>
  </si>
  <si>
    <t>Tutor Training</t>
  </si>
  <si>
    <t>Retention</t>
  </si>
  <si>
    <t>Mathematics education</t>
  </si>
  <si>
    <t>Learning Technology</t>
  </si>
  <si>
    <t>Mathematics</t>
  </si>
  <si>
    <t>Learning support</t>
  </si>
  <si>
    <t>Maths support</t>
  </si>
  <si>
    <t>Maths advice</t>
  </si>
  <si>
    <t>Academic skills</t>
  </si>
  <si>
    <t>Mathematics Learning</t>
  </si>
  <si>
    <t>Statistics Learning</t>
  </si>
  <si>
    <t>Tertiary Education</t>
  </si>
  <si>
    <t>MSSC</t>
  </si>
  <si>
    <t>ALC</t>
  </si>
  <si>
    <t>Mathematics problem</t>
  </si>
  <si>
    <t>Mathematic Learning Centre</t>
  </si>
  <si>
    <t>Peer support</t>
  </si>
  <si>
    <t>Support programme</t>
  </si>
  <si>
    <t>First year/First-year</t>
  </si>
  <si>
    <t>Mathematical skills</t>
  </si>
  <si>
    <t>Statistics</t>
  </si>
  <si>
    <t>(Student) Progression</t>
  </si>
  <si>
    <t>Centre for excellence</t>
  </si>
  <si>
    <t>Learning development</t>
  </si>
  <si>
    <t>Embedded classes</t>
  </si>
  <si>
    <t>(Student) Retention</t>
  </si>
  <si>
    <t>Engagement</t>
  </si>
  <si>
    <t>Undergraduates</t>
  </si>
  <si>
    <t>(Postgraduate) Tutors</t>
  </si>
  <si>
    <t>Video Analysis</t>
  </si>
  <si>
    <t>Count</t>
  </si>
  <si>
    <t>Mathematics (maths) support</t>
  </si>
  <si>
    <t>Diagnostic Testing</t>
  </si>
  <si>
    <t>(Mathematics) Support Centre</t>
  </si>
  <si>
    <t>% of References with International Collab.</t>
  </si>
  <si>
    <t xml:space="preserve">Year </t>
  </si>
  <si>
    <t>Bamforth</t>
  </si>
  <si>
    <t>Booth</t>
  </si>
  <si>
    <t>Carroll</t>
  </si>
  <si>
    <t>Challis</t>
  </si>
  <si>
    <t>Cuthbert</t>
  </si>
  <si>
    <t>Dowling</t>
  </si>
  <si>
    <t>Green</t>
  </si>
  <si>
    <t>Hubbard</t>
  </si>
  <si>
    <t>Lee</t>
  </si>
  <si>
    <t>Liston</t>
  </si>
  <si>
    <t>Lowndes</t>
  </si>
  <si>
    <t>Marr</t>
  </si>
  <si>
    <t>Nzekwe-Excel</t>
  </si>
  <si>
    <t>Patel</t>
  </si>
  <si>
    <t>Staddon</t>
  </si>
  <si>
    <t>Taylor</t>
  </si>
  <si>
    <t>Whitehead</t>
  </si>
  <si>
    <t>Wilson</t>
  </si>
  <si>
    <t>LTSN</t>
  </si>
  <si>
    <t>University of Limerick</t>
  </si>
  <si>
    <t>Mathematics Support Association Newsletter</t>
  </si>
  <si>
    <t>Delta</t>
  </si>
  <si>
    <t>CETL-MSOR</t>
  </si>
  <si>
    <t>Irish.Math.Soc.Bulletin</t>
  </si>
  <si>
    <t>ALM</t>
  </si>
  <si>
    <t>BCME</t>
  </si>
  <si>
    <t>MSOR Network</t>
  </si>
  <si>
    <t>Eng. Educ.</t>
  </si>
  <si>
    <t>AISHE-J</t>
  </si>
  <si>
    <t>Int.J.Math.Tea.Learn</t>
  </si>
  <si>
    <t>Coventry University</t>
  </si>
  <si>
    <t>Loughborough University</t>
  </si>
  <si>
    <t>Math centre</t>
  </si>
  <si>
    <t>Mathematics Learning Support, collaboration, research, effectiveness</t>
  </si>
  <si>
    <t>General mathematics, education</t>
  </si>
  <si>
    <t>Maths, diagnostic assessment, study support, individual learning programme, individual intuition, coaching</t>
  </si>
  <si>
    <t>Engineering, completion rates, mathematics support, retention</t>
  </si>
  <si>
    <t>Engineering education</t>
  </si>
  <si>
    <t>Student engagement, mathematics support, third level</t>
  </si>
  <si>
    <t>Peer reviewed, teaching, education, mathematics</t>
  </si>
  <si>
    <t>Mathematics education, mathematics skills, mathematics support, mathematics ability, higher education, university education</t>
  </si>
  <si>
    <t>Mathematics support, non-engagement</t>
  </si>
  <si>
    <t>Learning development care, mathematical ability, mathematics, student</t>
  </si>
  <si>
    <t>Mathematical sciences</t>
  </si>
  <si>
    <t>% of References with International Collab</t>
  </si>
  <si>
    <t>Completion rates</t>
  </si>
  <si>
    <t>General Mathematics</t>
  </si>
  <si>
    <t>(Student) Engagement</t>
  </si>
  <si>
    <t>Third Level</t>
  </si>
  <si>
    <t>Non-engagement</t>
  </si>
  <si>
    <t>Mathematics Learning Support</t>
  </si>
  <si>
    <t>Collaboration</t>
  </si>
  <si>
    <t>Research</t>
  </si>
  <si>
    <t>Learning Development Care</t>
  </si>
  <si>
    <t>Student</t>
  </si>
  <si>
    <t>Mathematical ability</t>
  </si>
  <si>
    <t>University education</t>
  </si>
  <si>
    <t>Diagnostic assessment</t>
  </si>
  <si>
    <t>Study support</t>
  </si>
  <si>
    <t>Individual learning programme</t>
  </si>
  <si>
    <t>Individual intuition</t>
  </si>
  <si>
    <t>Engineering (education)</t>
  </si>
  <si>
    <t>(Mathematics) Education</t>
  </si>
  <si>
    <t>Generative AI</t>
  </si>
  <si>
    <t>Assessment</t>
  </si>
  <si>
    <t>Higher Education</t>
  </si>
  <si>
    <t>Statistics education</t>
  </si>
  <si>
    <t>FYiMaths</t>
  </si>
  <si>
    <t>ChatGPT</t>
  </si>
  <si>
    <t>Statistics Anxiety</t>
  </si>
  <si>
    <t>(Student) engagement</t>
  </si>
  <si>
    <t>Diagnostic tool</t>
  </si>
  <si>
    <t>Numbas</t>
  </si>
  <si>
    <t>Mathematics refresher program</t>
  </si>
  <si>
    <t>interactivity</t>
  </si>
  <si>
    <t>adaptive teaching</t>
  </si>
  <si>
    <t>student ownership</t>
  </si>
  <si>
    <t>mathematics support</t>
  </si>
  <si>
    <t>academic coaching</t>
  </si>
  <si>
    <t>Secondary school</t>
  </si>
  <si>
    <t>Mathematics and Statistics Teaching Support</t>
  </si>
  <si>
    <t>Calculus</t>
  </si>
  <si>
    <t>Undergraduate</t>
  </si>
  <si>
    <t>mathematics</t>
  </si>
  <si>
    <t>foundation mathematics</t>
  </si>
  <si>
    <t>Maths and stats support</t>
  </si>
  <si>
    <t>sigmaNetwork</t>
  </si>
  <si>
    <t>(European) collaboration</t>
  </si>
  <si>
    <t>__ Assessment</t>
  </si>
  <si>
    <t>Community (of practice)</t>
  </si>
  <si>
    <t>Formative feedback, mathematics support, large lectures, university mathematics</t>
  </si>
  <si>
    <t>Taylor &amp; Francis</t>
  </si>
  <si>
    <t>Mathematics support, survey, peer tutoring, mathematics centre</t>
  </si>
  <si>
    <t>Dalby</t>
  </si>
  <si>
    <t>Policy enactment, mathematics, further education</t>
  </si>
  <si>
    <t>Mackenzie</t>
  </si>
  <si>
    <t>Ecological university, higher education, management, mathematics and statistics support</t>
  </si>
  <si>
    <t>Mathematics learning support, tutors, training, student evaluation</t>
  </si>
  <si>
    <t>Locherer</t>
  </si>
  <si>
    <t>Maths-centre, evaluation, data-mining, survey, statistics, maths-support</t>
  </si>
  <si>
    <t>Duranczyk</t>
  </si>
  <si>
    <t>Mathematics support, mathematical skills, quantitative skills, multi-discipline, mathematics confidence, cross-discipline</t>
  </si>
  <si>
    <t>mathematics, identity, space, figured worlds, community</t>
  </si>
  <si>
    <t>Community</t>
  </si>
  <si>
    <t>Online learning, mathematics support, COVID-19, digital support, pedagogy, social interaction</t>
  </si>
  <si>
    <t>Blended learning, online learning, mathematics support, digital support, university mathematics</t>
  </si>
  <si>
    <t>Mathematics support, natural language processing, student errors</t>
  </si>
  <si>
    <t>Horrocks</t>
  </si>
  <si>
    <t>Student retention, attrition, mathematics and statistics support</t>
  </si>
  <si>
    <t>Gilbert</t>
  </si>
  <si>
    <t>Mathematics and statistics support, academic support, digital support, online learning, COVID-19 pandemic</t>
  </si>
  <si>
    <t>Mathematics and statistics support, academic support, institutional change, TEF, access and participation plans, access agreements</t>
  </si>
  <si>
    <t>Johnson</t>
  </si>
  <si>
    <t>Rickard</t>
  </si>
  <si>
    <t>Alcock</t>
  </si>
  <si>
    <t>Belcher</t>
  </si>
  <si>
    <t>Betz</t>
  </si>
  <si>
    <t>Braun</t>
  </si>
  <si>
    <t>Buchele</t>
  </si>
  <si>
    <t>Chan</t>
  </si>
  <si>
    <t>Deutsch</t>
  </si>
  <si>
    <t>Di Martino</t>
  </si>
  <si>
    <t>Dietsche</t>
  </si>
  <si>
    <t>Faridhan</t>
  </si>
  <si>
    <t>Gueudet</t>
  </si>
  <si>
    <t>Halcrow</t>
  </si>
  <si>
    <t>Herzog</t>
  </si>
  <si>
    <t>Hochmuth</t>
  </si>
  <si>
    <t>Hong</t>
  </si>
  <si>
    <t>Howard</t>
  </si>
  <si>
    <t>Johns</t>
  </si>
  <si>
    <t>Klinger</t>
  </si>
  <si>
    <t>Lasserson</t>
  </si>
  <si>
    <t>Liebendorfer</t>
  </si>
  <si>
    <t>Maitland</t>
  </si>
  <si>
    <t>NSW Government</t>
  </si>
  <si>
    <t>Offenholley</t>
  </si>
  <si>
    <t>O'Meara</t>
  </si>
  <si>
    <t>Page</t>
  </si>
  <si>
    <t>Parkinson</t>
  </si>
  <si>
    <t>Schurmann</t>
  </si>
  <si>
    <t>Thomas</t>
  </si>
  <si>
    <t>Tricco</t>
  </si>
  <si>
    <t>Weatherby</t>
  </si>
  <si>
    <t>Canada</t>
  </si>
  <si>
    <t>Research impact, transdisciplinary research quality, quality criteria, quality evaluation</t>
  </si>
  <si>
    <t>Mathematical learning support, mathematical performance, impact evaluation, higher education, undergraduate mathematics education</t>
  </si>
  <si>
    <t>Resource center, calculus, student support, tutoring, evaluation</t>
  </si>
  <si>
    <t>Mathematics tutoring centers, evaluation, characteristics of effective centers</t>
  </si>
  <si>
    <t>RUME</t>
  </si>
  <si>
    <t>CETLMSOR</t>
  </si>
  <si>
    <t>Italy</t>
  </si>
  <si>
    <t>Secondary-tertiary transition, systematic literature review, epistemological affective and socio-cultural approaches, undergraduate mathematics students, rite of passage</t>
  </si>
  <si>
    <t>Educ Studies in Mathematics</t>
  </si>
  <si>
    <t>First-year mathematics, mathematics support, retention, learning analytics</t>
  </si>
  <si>
    <t>Australasian Society for Computers in Learning in Tertiary Education</t>
  </si>
  <si>
    <t>Advanced mathematical thinking, assessment, institutions, mathematical language, mathematical reasoning, proof, secondary-tertiary transition</t>
  </si>
  <si>
    <t>France</t>
  </si>
  <si>
    <t>Mathematics Learning Center, Tutoring Center, peer tutoring, help-seeking, college mathematics success</t>
  </si>
  <si>
    <t>PRIMUS</t>
  </si>
  <si>
    <t>Online tutoring, mathematics tutoring, tutoring best practices</t>
  </si>
  <si>
    <t>math anxiety, college students, tutoring assistance</t>
  </si>
  <si>
    <t>Mathematics bridging programme, self-efficacy, retention, adult learners, STEM</t>
  </si>
  <si>
    <t>Irish Educational Studies</t>
  </si>
  <si>
    <t>Mathematics support, the mathematics problem, National Student survey</t>
  </si>
  <si>
    <t>Research and development in university mathematics education</t>
  </si>
  <si>
    <t>Relevance model, mathematics teacher education, support measures, study satisafction, secondary-tertiary transition, cluster analysis</t>
  </si>
  <si>
    <t>South Africa</t>
  </si>
  <si>
    <t>mathematics, Irish primary schools</t>
  </si>
  <si>
    <t>Issues in Educational Research</t>
  </si>
  <si>
    <t>Supplemental Instruction, peer assisted learning, chemistry, mathematics, calculus</t>
  </si>
  <si>
    <t>Innovations in Education and Teaching International</t>
  </si>
  <si>
    <t>Calculus, multiple regression, student success rates, peer tutoring, undergraduate mathematics</t>
  </si>
  <si>
    <t>Linear algebra, mathematical thinking, abstract algebra, didactical situation, proof construction</t>
  </si>
  <si>
    <t>Int. Congress on Mathematical Education</t>
  </si>
  <si>
    <t>Journal of Teaching and Learning</t>
  </si>
  <si>
    <t>American Mathematical Society</t>
  </si>
  <si>
    <t>Research Evaluation</t>
  </si>
  <si>
    <t>Mind Garden</t>
  </si>
  <si>
    <t>EDULEARN</t>
  </si>
  <si>
    <t>Journal of Higher Education Policy and Management</t>
  </si>
  <si>
    <t>Edgewood College</t>
  </si>
  <si>
    <t>Canadian Journal of Higher Education</t>
  </si>
  <si>
    <t>Research in Mathematics Education in Ireland</t>
  </si>
  <si>
    <t>University of West Florida</t>
  </si>
  <si>
    <t>Adults learning mathematics</t>
  </si>
  <si>
    <t>Advances in mathematics education</t>
  </si>
  <si>
    <t>Acta academia</t>
  </si>
  <si>
    <t>Community College Journal of Research and Practice</t>
  </si>
  <si>
    <t>(Research) Impact</t>
  </si>
  <si>
    <t>Mathematics learning support</t>
  </si>
  <si>
    <t>Resource center</t>
  </si>
  <si>
    <t>calculus</t>
  </si>
  <si>
    <t>Student Support</t>
  </si>
  <si>
    <t>Tutoring</t>
  </si>
  <si>
    <t>Mathematics tutoring centers</t>
  </si>
  <si>
    <t>Academic support</t>
  </si>
  <si>
    <t>Secondary-tertiary transition</t>
  </si>
  <si>
    <t>Literature review</t>
  </si>
  <si>
    <t>First-year</t>
  </si>
  <si>
    <t>Learning Analytics</t>
  </si>
  <si>
    <t>Digital support</t>
  </si>
  <si>
    <t>Online learning</t>
  </si>
  <si>
    <t>COVID-19</t>
  </si>
  <si>
    <t>Mathematics Learning Center</t>
  </si>
  <si>
    <t>Tutoring Center</t>
  </si>
  <si>
    <t>Peer Tutoring</t>
  </si>
  <si>
    <t>Online Tutoring</t>
  </si>
  <si>
    <t>Mathematics tutoring</t>
  </si>
  <si>
    <t>math anxiety</t>
  </si>
  <si>
    <t>college students</t>
  </si>
  <si>
    <t>Mathematics bridging programme</t>
  </si>
  <si>
    <t>self-efficacy</t>
  </si>
  <si>
    <t>mathematics centre</t>
  </si>
  <si>
    <t>University mathematics</t>
  </si>
  <si>
    <t>Pedagogy</t>
  </si>
  <si>
    <t>Supplemental Instruction</t>
  </si>
  <si>
    <t>Peer Assisted Learning</t>
  </si>
  <si>
    <t>(Undergraduate) mathematics education</t>
  </si>
  <si>
    <t>Mathematics teacher education</t>
  </si>
  <si>
    <t>Undergraduate mathematics (students)</t>
  </si>
  <si>
    <t>Tutoring assistance</t>
  </si>
  <si>
    <t>University mathematics/education</t>
  </si>
  <si>
    <t>Maths-support</t>
  </si>
  <si>
    <t>Maths-centre</t>
  </si>
  <si>
    <t>(Student) retention</t>
  </si>
  <si>
    <t>Tutors</t>
  </si>
  <si>
    <t>(Student) evaluation</t>
  </si>
  <si>
    <t>Further education</t>
  </si>
  <si>
    <t>McKeown</t>
  </si>
  <si>
    <t>Learning centers, mathematics, precalculus</t>
  </si>
  <si>
    <t>Olarte</t>
  </si>
  <si>
    <t>Graduate students, mathematics identity, methodology</t>
  </si>
  <si>
    <t>LaTona-Tequida</t>
  </si>
  <si>
    <t>Department change, calculus, student success</t>
  </si>
  <si>
    <t>Gallagher</t>
  </si>
  <si>
    <t>Online tutoring, student engagement, affect, equity</t>
  </si>
  <si>
    <t>Mathematics support, undergraduate students, sector transition, diagnostic teaching</t>
  </si>
  <si>
    <t>Budenbender-Kuklinski</t>
  </si>
  <si>
    <t>Relevance attributions, mathematics teacher education, insecurity, beginning of university studies, value construct</t>
  </si>
  <si>
    <t>INDRUM</t>
  </si>
  <si>
    <t>Diagnostic testing, mathematics support, first-year students, student success, transition, assessment</t>
  </si>
  <si>
    <t>Mathematics and statistics, first-year, student success</t>
  </si>
  <si>
    <t>Hand</t>
  </si>
  <si>
    <t>Accessibility, dyslexia, dyscalculia, dyspraxia, mature students, resources, mathematics support</t>
  </si>
  <si>
    <t>Kim</t>
  </si>
  <si>
    <t>self-efficacy, tutorials, in-person learning, online learning</t>
  </si>
  <si>
    <t>Graduate teaching assistants, social support, goals, beliefs, decision-making</t>
  </si>
  <si>
    <t>Park</t>
  </si>
  <si>
    <t>Graduate teaching assistants, Use of student work in teaching, Interpretation of student work</t>
  </si>
  <si>
    <t>Gonzalez-Martin</t>
  </si>
  <si>
    <t>University mathematics education, (digital) resources in university mathematics, university teachers' practices and knowledge, mathematics for non-mathematics professionals, university mathematics students' identity and experiences</t>
  </si>
  <si>
    <t>Viirman</t>
  </si>
  <si>
    <t>Sweden</t>
  </si>
  <si>
    <t>Calculus, double discontinuity, international comparison, mathematics teacher education</t>
  </si>
  <si>
    <t>Fleischmann</t>
  </si>
  <si>
    <t>Norway</t>
  </si>
  <si>
    <t>Digital resource, tertiary education, mathematics education</t>
  </si>
  <si>
    <t>Intepe</t>
  </si>
  <si>
    <t>Mathematics support, COVID-19, Natural language processing</t>
  </si>
  <si>
    <t>Mathematics support, online vs face-to-face delivery, metrics</t>
  </si>
  <si>
    <t>Mathematics and Statistics Support, in-person support, online support, mathematics anxiety</t>
  </si>
  <si>
    <t>Carey</t>
  </si>
  <si>
    <t>Mathematical writing, group work, study skills, online learning</t>
  </si>
  <si>
    <t>Palmer</t>
  </si>
  <si>
    <t>Digital resources, mathematics and statistics support, student perspective, learning technology, online mathematics support</t>
  </si>
  <si>
    <t>Gokhool</t>
  </si>
  <si>
    <t>Maths anxiety, maths support, maths resilience, gender, ethnicity</t>
  </si>
  <si>
    <t>Marshall</t>
  </si>
  <si>
    <t>Statistics anxiety, higher education, workshop, attendance</t>
  </si>
  <si>
    <t>Hill-Lindsay</t>
  </si>
  <si>
    <t>Tutors, belief, practice, professional development</t>
  </si>
  <si>
    <t>Cawley</t>
  </si>
  <si>
    <t>Embedded tutor, equity, developmental mathematics</t>
  </si>
  <si>
    <t>Pham</t>
  </si>
  <si>
    <t>Tutors, teaching assistants, beliefs, social constructivism</t>
  </si>
  <si>
    <t>Kuchle</t>
  </si>
  <si>
    <t>Case Study, Graduate Teaching Assistants, M-DISC, Professional Development</t>
  </si>
  <si>
    <t>Kock</t>
  </si>
  <si>
    <t>The Netherlands</t>
  </si>
  <si>
    <t>Student use of resources, case study, transition from school to university, calculus</t>
  </si>
  <si>
    <t>Biehler</t>
  </si>
  <si>
    <t>Mathematical bridging courses, instruments for evaluation, transition to and across university mathematics, teachers' and students' practices at university level</t>
  </si>
  <si>
    <t>Kuklinski</t>
  </si>
  <si>
    <t>Transition to and across university mathematics, novel approaches to teaching, teacher education, motivational developments, beliefs</t>
  </si>
  <si>
    <t>Professional development, mathematics support, reflective practice</t>
  </si>
  <si>
    <t>Mathematics and statistics support, first-year, mathematics background</t>
  </si>
  <si>
    <t>Hartley</t>
  </si>
  <si>
    <t>Flexible learning, mathematics support, unified teaching</t>
  </si>
  <si>
    <t>Morphett</t>
  </si>
  <si>
    <t>Mathematics support, rumour models, SI model</t>
  </si>
  <si>
    <t>Mathematics, mathematics education, numeracy, blended learning</t>
  </si>
  <si>
    <t>Accessibility, Assistive learning technology, mathematics support</t>
  </si>
  <si>
    <t>Maths anxiety</t>
  </si>
  <si>
    <t>Learning centers</t>
  </si>
  <si>
    <t>Graduate teaching assistants</t>
  </si>
  <si>
    <t>First year/First-year(students)</t>
  </si>
  <si>
    <t>Embedded Tutor</t>
  </si>
  <si>
    <t>Tutor</t>
  </si>
  <si>
    <t>Mathematical bridging courses</t>
  </si>
  <si>
    <t>online learning</t>
  </si>
  <si>
    <t>teacher education</t>
  </si>
  <si>
    <t>Diagnostic testing</t>
  </si>
  <si>
    <t>Accessibility</t>
  </si>
  <si>
    <t>Transition to and across university mathematics</t>
  </si>
  <si>
    <t>Belief</t>
  </si>
  <si>
    <t>statistics support</t>
  </si>
  <si>
    <t>Tertiary education</t>
  </si>
  <si>
    <t>Professional development</t>
  </si>
  <si>
    <t>Developmental Mathematics</t>
  </si>
  <si>
    <t>Mathematics anxiety</t>
  </si>
  <si>
    <t xml:space="preserve">CETLMSOR </t>
  </si>
  <si>
    <t>No. of Included Articles</t>
  </si>
  <si>
    <t>Other</t>
  </si>
  <si>
    <t xml:space="preserve">Mathematics </t>
  </si>
  <si>
    <t>Tutor(s)</t>
  </si>
  <si>
    <t>Mathematics Support Centre</t>
  </si>
  <si>
    <t>(Student)progression</t>
  </si>
  <si>
    <t>Diagnostic tool/testing/assessment</t>
  </si>
  <si>
    <t>Belief(s)</t>
  </si>
  <si>
    <t>Mathematics/maths anxiety</t>
  </si>
  <si>
    <t>Position</t>
  </si>
  <si>
    <t>(Mathematics) Teacher education</t>
  </si>
  <si>
    <t>Country</t>
  </si>
  <si>
    <t>Sample 1</t>
  </si>
  <si>
    <t>Sample 2</t>
  </si>
  <si>
    <t>USA - 23 MSS Samples</t>
  </si>
  <si>
    <t>Secondary-tertiary transition, systematic literature review,  epistemological affective and socio-cultural approaches, undergraduate mathematics students, rite of passage</t>
  </si>
  <si>
    <t>Educ studies in mathematics</t>
  </si>
  <si>
    <t>Sample on 17 Dec 2024</t>
  </si>
  <si>
    <t>UK - 116 MSS Samples</t>
  </si>
  <si>
    <t>Ireland - 40 MSS Samples</t>
  </si>
  <si>
    <t>Australia - 26 MSS Samples</t>
  </si>
  <si>
    <t>Germany - 9 Samples</t>
  </si>
  <si>
    <t>Other - 9 Samples</t>
  </si>
  <si>
    <t>Multiple</t>
  </si>
  <si>
    <t>Multiple - 17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</si>
</sst>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24"/>
      <color theme="1"/>
      <name val="Times New Roman"/>
      <family val="1"/>
    </font>
    <font>
      <b/>
      <sz val="26"/>
      <color theme="1"/>
      <name val="Times New Roman"/>
      <family val="1"/>
    </font>
    <font>
      <b/>
      <sz val="28"/>
      <color theme="1"/>
      <name val="Times New Roman"/>
      <family val="1"/>
    </font>
    <font>
      <b/>
      <sz val="2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0" fontId="2" fillId="0" borderId="0" xfId="0" applyFont="1"/>
    <xf numFmtId="164" fontId="1" fillId="0" borderId="2" xfId="0" applyNumberFormat="1" applyFont="1" applyBorder="1"/>
    <xf numFmtId="0" fontId="1" fillId="0" borderId="2" xfId="0" applyFont="1" applyBorder="1"/>
    <xf numFmtId="164" fontId="2" fillId="0" borderId="2" xfId="0" applyNumberFormat="1" applyFont="1" applyBorder="1"/>
    <xf numFmtId="0" fontId="2" fillId="0" borderId="2" xfId="0" applyFont="1" applyBorder="1"/>
    <xf numFmtId="0" fontId="2" fillId="0" borderId="3" xfId="0" applyFont="1" applyBorder="1"/>
    <xf numFmtId="164" fontId="2" fillId="0" borderId="4" xfId="0" applyNumberFormat="1" applyFont="1" applyBorder="1"/>
    <xf numFmtId="0" fontId="2" fillId="0" borderId="4" xfId="0" applyFont="1" applyBorder="1"/>
    <xf numFmtId="0" fontId="1" fillId="0" borderId="0" xfId="0" applyFont="1"/>
    <xf numFmtId="164" fontId="2" fillId="0" borderId="5" xfId="0" applyNumberFormat="1" applyFont="1" applyBorder="1"/>
    <xf numFmtId="0" fontId="2" fillId="0" borderId="5" xfId="0" applyFont="1" applyBorder="1"/>
    <xf numFmtId="164" fontId="2" fillId="2" borderId="2" xfId="0" applyNumberFormat="1" applyFont="1" applyFill="1" applyBorder="1"/>
    <xf numFmtId="164" fontId="2" fillId="0" borderId="6" xfId="0" applyNumberFormat="1" applyFont="1" applyBorder="1"/>
    <xf numFmtId="0" fontId="2" fillId="0" borderId="6" xfId="0" applyFont="1" applyBorder="1"/>
    <xf numFmtId="0" fontId="0" fillId="0" borderId="2" xfId="0" applyBorder="1"/>
    <xf numFmtId="16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2" xfId="0" applyFont="1" applyFill="1" applyBorder="1"/>
    <xf numFmtId="164" fontId="1" fillId="0" borderId="0" xfId="0" applyNumberFormat="1" applyFont="1"/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164" fontId="2" fillId="3" borderId="2" xfId="0" applyNumberFormat="1" applyFont="1" applyFill="1" applyBorder="1"/>
    <xf numFmtId="0" fontId="2" fillId="3" borderId="2" xfId="0" applyFont="1" applyFill="1" applyBorder="1"/>
    <xf numFmtId="0" fontId="2" fillId="0" borderId="3" xfId="0" applyFont="1" applyBorder="1" applyAlignment="1">
      <alignment horizontal="right"/>
    </xf>
    <xf numFmtId="2" fontId="2" fillId="0" borderId="2" xfId="0" applyNumberFormat="1" applyFont="1" applyBorder="1"/>
    <xf numFmtId="0" fontId="2" fillId="0" borderId="0" xfId="0" applyFont="1" applyAlignment="1">
      <alignment horizontal="right"/>
    </xf>
    <xf numFmtId="0" fontId="2" fillId="3" borderId="2" xfId="0" applyFont="1" applyFill="1" applyBorder="1" applyAlignment="1">
      <alignment wrapText="1"/>
    </xf>
    <xf numFmtId="164" fontId="3" fillId="0" borderId="2" xfId="0" applyNumberFormat="1" applyFont="1" applyBorder="1"/>
    <xf numFmtId="164" fontId="3" fillId="0" borderId="7" xfId="0" applyNumberFormat="1" applyFont="1" applyBorder="1"/>
    <xf numFmtId="0" fontId="3" fillId="0" borderId="7" xfId="0" applyFont="1" applyBorder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AAF25"/>
      <color rgb="FFE14A4D"/>
      <color rgb="FFED2C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000" b="0">
                <a:latin typeface="+mn-lt"/>
                <a:cs typeface="Times New Roman" panose="02020603050405020304" pitchFamily="18" charset="0"/>
              </a:rPr>
              <a:t>Keywords</a:t>
            </a:r>
            <a:r>
              <a:rPr lang="en-GB" sz="2000" b="0" baseline="0">
                <a:latin typeface="+mn-lt"/>
                <a:cs typeface="Times New Roman" panose="02020603050405020304" pitchFamily="18" charset="0"/>
              </a:rPr>
              <a:t> by Country</a:t>
            </a:r>
            <a:endParaRPr lang="en-GB" sz="2000" b="0">
              <a:latin typeface="+mn-lt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Summary!$C$13</c:f>
              <c:strCache>
                <c:ptCount val="1"/>
                <c:pt idx="0">
                  <c:v>UK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Summary!$B$14:$B$43</c:f>
              <c:strCache>
                <c:ptCount val="30"/>
                <c:pt idx="0">
                  <c:v>Mathematics support</c:v>
                </c:pt>
                <c:pt idx="1">
                  <c:v>Mathematics </c:v>
                </c:pt>
                <c:pt idx="2">
                  <c:v>Mathematics education</c:v>
                </c:pt>
                <c:pt idx="3">
                  <c:v>Tutor(s)</c:v>
                </c:pt>
                <c:pt idx="4">
                  <c:v>Evaluation</c:v>
                </c:pt>
                <c:pt idx="5">
                  <c:v>Higher Education</c:v>
                </c:pt>
                <c:pt idx="6">
                  <c:v>First year/First-year</c:v>
                </c:pt>
                <c:pt idx="7">
                  <c:v>Engagement</c:v>
                </c:pt>
                <c:pt idx="8">
                  <c:v>Calculus</c:v>
                </c:pt>
                <c:pt idx="9">
                  <c:v>Maths support</c:v>
                </c:pt>
                <c:pt idx="10">
                  <c:v>(Student) Retention</c:v>
                </c:pt>
                <c:pt idx="11">
                  <c:v>Assessment</c:v>
                </c:pt>
                <c:pt idx="12">
                  <c:v>Learning support</c:v>
                </c:pt>
                <c:pt idx="13">
                  <c:v>Mathematics learning support</c:v>
                </c:pt>
                <c:pt idx="14">
                  <c:v>Community</c:v>
                </c:pt>
                <c:pt idx="15">
                  <c:v>Mathematics and statistics support</c:v>
                </c:pt>
                <c:pt idx="16">
                  <c:v>Diagnostic tool/testing/assessment</c:v>
                </c:pt>
                <c:pt idx="17">
                  <c:v>Statistics support</c:v>
                </c:pt>
                <c:pt idx="18">
                  <c:v>Tutor Training</c:v>
                </c:pt>
                <c:pt idx="19">
                  <c:v>(Mathematics) Teacher education</c:v>
                </c:pt>
                <c:pt idx="20">
                  <c:v>Belief(s)</c:v>
                </c:pt>
                <c:pt idx="21">
                  <c:v>Undergraduate</c:v>
                </c:pt>
                <c:pt idx="22">
                  <c:v>Tertiary education</c:v>
                </c:pt>
                <c:pt idx="23">
                  <c:v>Graduate teaching assistants</c:v>
                </c:pt>
                <c:pt idx="24">
                  <c:v>Digital support</c:v>
                </c:pt>
                <c:pt idx="25">
                  <c:v>(Student)progression</c:v>
                </c:pt>
                <c:pt idx="26">
                  <c:v>Mathematics Support Centre</c:v>
                </c:pt>
                <c:pt idx="27">
                  <c:v>Secondary-tertiary transition</c:v>
                </c:pt>
                <c:pt idx="28">
                  <c:v>Peer Tutoring</c:v>
                </c:pt>
                <c:pt idx="29">
                  <c:v>Mathematics/maths anxiety</c:v>
                </c:pt>
              </c:strCache>
            </c:strRef>
          </c:cat>
          <c:val>
            <c:numRef>
              <c:f>Summary!$C$14:$C$43</c:f>
              <c:numCache>
                <c:formatCode>General</c:formatCode>
                <c:ptCount val="30"/>
                <c:pt idx="0">
                  <c:v>13</c:v>
                </c:pt>
                <c:pt idx="1">
                  <c:v>6</c:v>
                </c:pt>
                <c:pt idx="2">
                  <c:v>6</c:v>
                </c:pt>
                <c:pt idx="3">
                  <c:v>3</c:v>
                </c:pt>
                <c:pt idx="4">
                  <c:v>1</c:v>
                </c:pt>
                <c:pt idx="5">
                  <c:v>5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4</c:v>
                </c:pt>
                <c:pt idx="10">
                  <c:v>1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5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2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90-D04D-A411-2218F519A3E4}"/>
            </c:ext>
          </c:extLst>
        </c:ser>
        <c:ser>
          <c:idx val="1"/>
          <c:order val="1"/>
          <c:tx>
            <c:strRef>
              <c:f>Summary!$D$13</c:f>
              <c:strCache>
                <c:ptCount val="1"/>
                <c:pt idx="0">
                  <c:v>USA</c:v>
                </c:pt>
              </c:strCache>
            </c:strRef>
          </c:tx>
          <c:spPr>
            <a:solidFill>
              <a:srgbClr val="ED2CE1"/>
            </a:solidFill>
            <a:ln>
              <a:noFill/>
            </a:ln>
            <a:effectLst/>
          </c:spPr>
          <c:invertIfNegative val="0"/>
          <c:cat>
            <c:strRef>
              <c:f>Summary!$B$14:$B$43</c:f>
              <c:strCache>
                <c:ptCount val="30"/>
                <c:pt idx="0">
                  <c:v>Mathematics support</c:v>
                </c:pt>
                <c:pt idx="1">
                  <c:v>Mathematics </c:v>
                </c:pt>
                <c:pt idx="2">
                  <c:v>Mathematics education</c:v>
                </c:pt>
                <c:pt idx="3">
                  <c:v>Tutor(s)</c:v>
                </c:pt>
                <c:pt idx="4">
                  <c:v>Evaluation</c:v>
                </c:pt>
                <c:pt idx="5">
                  <c:v>Higher Education</c:v>
                </c:pt>
                <c:pt idx="6">
                  <c:v>First year/First-year</c:v>
                </c:pt>
                <c:pt idx="7">
                  <c:v>Engagement</c:v>
                </c:pt>
                <c:pt idx="8">
                  <c:v>Calculus</c:v>
                </c:pt>
                <c:pt idx="9">
                  <c:v>Maths support</c:v>
                </c:pt>
                <c:pt idx="10">
                  <c:v>(Student) Retention</c:v>
                </c:pt>
                <c:pt idx="11">
                  <c:v>Assessment</c:v>
                </c:pt>
                <c:pt idx="12">
                  <c:v>Learning support</c:v>
                </c:pt>
                <c:pt idx="13">
                  <c:v>Mathematics learning support</c:v>
                </c:pt>
                <c:pt idx="14">
                  <c:v>Community</c:v>
                </c:pt>
                <c:pt idx="15">
                  <c:v>Mathematics and statistics support</c:v>
                </c:pt>
                <c:pt idx="16">
                  <c:v>Diagnostic tool/testing/assessment</c:v>
                </c:pt>
                <c:pt idx="17">
                  <c:v>Statistics support</c:v>
                </c:pt>
                <c:pt idx="18">
                  <c:v>Tutor Training</c:v>
                </c:pt>
                <c:pt idx="19">
                  <c:v>(Mathematics) Teacher education</c:v>
                </c:pt>
                <c:pt idx="20">
                  <c:v>Belief(s)</c:v>
                </c:pt>
                <c:pt idx="21">
                  <c:v>Undergraduate</c:v>
                </c:pt>
                <c:pt idx="22">
                  <c:v>Tertiary education</c:v>
                </c:pt>
                <c:pt idx="23">
                  <c:v>Graduate teaching assistants</c:v>
                </c:pt>
                <c:pt idx="24">
                  <c:v>Digital support</c:v>
                </c:pt>
                <c:pt idx="25">
                  <c:v>(Student)progression</c:v>
                </c:pt>
                <c:pt idx="26">
                  <c:v>Mathematics Support Centre</c:v>
                </c:pt>
                <c:pt idx="27">
                  <c:v>Secondary-tertiary transition</c:v>
                </c:pt>
                <c:pt idx="28">
                  <c:v>Peer Tutoring</c:v>
                </c:pt>
                <c:pt idx="29">
                  <c:v>Mathematics/maths anxiety</c:v>
                </c:pt>
              </c:strCache>
            </c:strRef>
          </c:cat>
          <c:val>
            <c:numRef>
              <c:f>Summary!$D$14:$D$43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0</c:v>
                </c:pt>
                <c:pt idx="23">
                  <c:v>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90-D04D-A411-2218F519A3E4}"/>
            </c:ext>
          </c:extLst>
        </c:ser>
        <c:ser>
          <c:idx val="2"/>
          <c:order val="2"/>
          <c:tx>
            <c:strRef>
              <c:f>Summary!$E$13</c:f>
              <c:strCache>
                <c:ptCount val="1"/>
                <c:pt idx="0">
                  <c:v>Ireland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Summary!$B$14:$B$43</c:f>
              <c:strCache>
                <c:ptCount val="30"/>
                <c:pt idx="0">
                  <c:v>Mathematics support</c:v>
                </c:pt>
                <c:pt idx="1">
                  <c:v>Mathematics </c:v>
                </c:pt>
                <c:pt idx="2">
                  <c:v>Mathematics education</c:v>
                </c:pt>
                <c:pt idx="3">
                  <c:v>Tutor(s)</c:v>
                </c:pt>
                <c:pt idx="4">
                  <c:v>Evaluation</c:v>
                </c:pt>
                <c:pt idx="5">
                  <c:v>Higher Education</c:v>
                </c:pt>
                <c:pt idx="6">
                  <c:v>First year/First-year</c:v>
                </c:pt>
                <c:pt idx="7">
                  <c:v>Engagement</c:v>
                </c:pt>
                <c:pt idx="8">
                  <c:v>Calculus</c:v>
                </c:pt>
                <c:pt idx="9">
                  <c:v>Maths support</c:v>
                </c:pt>
                <c:pt idx="10">
                  <c:v>(Student) Retention</c:v>
                </c:pt>
                <c:pt idx="11">
                  <c:v>Assessment</c:v>
                </c:pt>
                <c:pt idx="12">
                  <c:v>Learning support</c:v>
                </c:pt>
                <c:pt idx="13">
                  <c:v>Mathematics learning support</c:v>
                </c:pt>
                <c:pt idx="14">
                  <c:v>Community</c:v>
                </c:pt>
                <c:pt idx="15">
                  <c:v>Mathematics and statistics support</c:v>
                </c:pt>
                <c:pt idx="16">
                  <c:v>Diagnostic tool/testing/assessment</c:v>
                </c:pt>
                <c:pt idx="17">
                  <c:v>Statistics support</c:v>
                </c:pt>
                <c:pt idx="18">
                  <c:v>Tutor Training</c:v>
                </c:pt>
                <c:pt idx="19">
                  <c:v>(Mathematics) Teacher education</c:v>
                </c:pt>
                <c:pt idx="20">
                  <c:v>Belief(s)</c:v>
                </c:pt>
                <c:pt idx="21">
                  <c:v>Undergraduate</c:v>
                </c:pt>
                <c:pt idx="22">
                  <c:v>Tertiary education</c:v>
                </c:pt>
                <c:pt idx="23">
                  <c:v>Graduate teaching assistants</c:v>
                </c:pt>
                <c:pt idx="24">
                  <c:v>Digital support</c:v>
                </c:pt>
                <c:pt idx="25">
                  <c:v>(Student)progression</c:v>
                </c:pt>
                <c:pt idx="26">
                  <c:v>Mathematics Support Centre</c:v>
                </c:pt>
                <c:pt idx="27">
                  <c:v>Secondary-tertiary transition</c:v>
                </c:pt>
                <c:pt idx="28">
                  <c:v>Peer Tutoring</c:v>
                </c:pt>
                <c:pt idx="29">
                  <c:v>Mathematics/maths anxiety</c:v>
                </c:pt>
              </c:strCache>
            </c:strRef>
          </c:cat>
          <c:val>
            <c:numRef>
              <c:f>Summary!$E$14:$E$43</c:f>
              <c:numCache>
                <c:formatCode>General</c:formatCode>
                <c:ptCount val="30"/>
                <c:pt idx="0">
                  <c:v>12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0</c:v>
                </c:pt>
                <c:pt idx="7">
                  <c:v>3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4</c:v>
                </c:pt>
                <c:pt idx="14">
                  <c:v>0</c:v>
                </c:pt>
                <c:pt idx="15">
                  <c:v>1</c:v>
                </c:pt>
                <c:pt idx="16">
                  <c:v>2</c:v>
                </c:pt>
                <c:pt idx="17">
                  <c:v>1</c:v>
                </c:pt>
                <c:pt idx="18">
                  <c:v>3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3</c:v>
                </c:pt>
                <c:pt idx="25">
                  <c:v>2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90-D04D-A411-2218F519A3E4}"/>
            </c:ext>
          </c:extLst>
        </c:ser>
        <c:ser>
          <c:idx val="3"/>
          <c:order val="3"/>
          <c:tx>
            <c:strRef>
              <c:f>Summary!$F$13</c:f>
              <c:strCache>
                <c:ptCount val="1"/>
                <c:pt idx="0">
                  <c:v>Australia</c:v>
                </c:pt>
              </c:strCache>
            </c:strRef>
          </c:tx>
          <c:spPr>
            <a:solidFill>
              <a:srgbClr val="E14A4D"/>
            </a:solidFill>
            <a:ln>
              <a:noFill/>
            </a:ln>
            <a:effectLst/>
          </c:spPr>
          <c:invertIfNegative val="0"/>
          <c:cat>
            <c:strRef>
              <c:f>Summary!$B$14:$B$43</c:f>
              <c:strCache>
                <c:ptCount val="30"/>
                <c:pt idx="0">
                  <c:v>Mathematics support</c:v>
                </c:pt>
                <c:pt idx="1">
                  <c:v>Mathematics </c:v>
                </c:pt>
                <c:pt idx="2">
                  <c:v>Mathematics education</c:v>
                </c:pt>
                <c:pt idx="3">
                  <c:v>Tutor(s)</c:v>
                </c:pt>
                <c:pt idx="4">
                  <c:v>Evaluation</c:v>
                </c:pt>
                <c:pt idx="5">
                  <c:v>Higher Education</c:v>
                </c:pt>
                <c:pt idx="6">
                  <c:v>First year/First-year</c:v>
                </c:pt>
                <c:pt idx="7">
                  <c:v>Engagement</c:v>
                </c:pt>
                <c:pt idx="8">
                  <c:v>Calculus</c:v>
                </c:pt>
                <c:pt idx="9">
                  <c:v>Maths support</c:v>
                </c:pt>
                <c:pt idx="10">
                  <c:v>(Student) Retention</c:v>
                </c:pt>
                <c:pt idx="11">
                  <c:v>Assessment</c:v>
                </c:pt>
                <c:pt idx="12">
                  <c:v>Learning support</c:v>
                </c:pt>
                <c:pt idx="13">
                  <c:v>Mathematics learning support</c:v>
                </c:pt>
                <c:pt idx="14">
                  <c:v>Community</c:v>
                </c:pt>
                <c:pt idx="15">
                  <c:v>Mathematics and statistics support</c:v>
                </c:pt>
                <c:pt idx="16">
                  <c:v>Diagnostic tool/testing/assessment</c:v>
                </c:pt>
                <c:pt idx="17">
                  <c:v>Statistics support</c:v>
                </c:pt>
                <c:pt idx="18">
                  <c:v>Tutor Training</c:v>
                </c:pt>
                <c:pt idx="19">
                  <c:v>(Mathematics) Teacher education</c:v>
                </c:pt>
                <c:pt idx="20">
                  <c:v>Belief(s)</c:v>
                </c:pt>
                <c:pt idx="21">
                  <c:v>Undergraduate</c:v>
                </c:pt>
                <c:pt idx="22">
                  <c:v>Tertiary education</c:v>
                </c:pt>
                <c:pt idx="23">
                  <c:v>Graduate teaching assistants</c:v>
                </c:pt>
                <c:pt idx="24">
                  <c:v>Digital support</c:v>
                </c:pt>
                <c:pt idx="25">
                  <c:v>(Student)progression</c:v>
                </c:pt>
                <c:pt idx="26">
                  <c:v>Mathematics Support Centre</c:v>
                </c:pt>
                <c:pt idx="27">
                  <c:v>Secondary-tertiary transition</c:v>
                </c:pt>
                <c:pt idx="28">
                  <c:v>Peer Tutoring</c:v>
                </c:pt>
                <c:pt idx="29">
                  <c:v>Mathematics/maths anxiety</c:v>
                </c:pt>
              </c:strCache>
            </c:strRef>
          </c:cat>
          <c:val>
            <c:numRef>
              <c:f>Summary!$F$14:$F$43</c:f>
              <c:numCache>
                <c:formatCode>General</c:formatCode>
                <c:ptCount val="30"/>
                <c:pt idx="0">
                  <c:v>9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7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390-D04D-A411-2218F519A3E4}"/>
            </c:ext>
          </c:extLst>
        </c:ser>
        <c:ser>
          <c:idx val="4"/>
          <c:order val="4"/>
          <c:tx>
            <c:strRef>
              <c:f>Summary!$G$13</c:f>
              <c:strCache>
                <c:ptCount val="1"/>
                <c:pt idx="0">
                  <c:v>Germany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Summary!$B$14:$B$43</c:f>
              <c:strCache>
                <c:ptCount val="30"/>
                <c:pt idx="0">
                  <c:v>Mathematics support</c:v>
                </c:pt>
                <c:pt idx="1">
                  <c:v>Mathematics </c:v>
                </c:pt>
                <c:pt idx="2">
                  <c:v>Mathematics education</c:v>
                </c:pt>
                <c:pt idx="3">
                  <c:v>Tutor(s)</c:v>
                </c:pt>
                <c:pt idx="4">
                  <c:v>Evaluation</c:v>
                </c:pt>
                <c:pt idx="5">
                  <c:v>Higher Education</c:v>
                </c:pt>
                <c:pt idx="6">
                  <c:v>First year/First-year</c:v>
                </c:pt>
                <c:pt idx="7">
                  <c:v>Engagement</c:v>
                </c:pt>
                <c:pt idx="8">
                  <c:v>Calculus</c:v>
                </c:pt>
                <c:pt idx="9">
                  <c:v>Maths support</c:v>
                </c:pt>
                <c:pt idx="10">
                  <c:v>(Student) Retention</c:v>
                </c:pt>
                <c:pt idx="11">
                  <c:v>Assessment</c:v>
                </c:pt>
                <c:pt idx="12">
                  <c:v>Learning support</c:v>
                </c:pt>
                <c:pt idx="13">
                  <c:v>Mathematics learning support</c:v>
                </c:pt>
                <c:pt idx="14">
                  <c:v>Community</c:v>
                </c:pt>
                <c:pt idx="15">
                  <c:v>Mathematics and statistics support</c:v>
                </c:pt>
                <c:pt idx="16">
                  <c:v>Diagnostic tool/testing/assessment</c:v>
                </c:pt>
                <c:pt idx="17">
                  <c:v>Statistics support</c:v>
                </c:pt>
                <c:pt idx="18">
                  <c:v>Tutor Training</c:v>
                </c:pt>
                <c:pt idx="19">
                  <c:v>(Mathematics) Teacher education</c:v>
                </c:pt>
                <c:pt idx="20">
                  <c:v>Belief(s)</c:v>
                </c:pt>
                <c:pt idx="21">
                  <c:v>Undergraduate</c:v>
                </c:pt>
                <c:pt idx="22">
                  <c:v>Tertiary education</c:v>
                </c:pt>
                <c:pt idx="23">
                  <c:v>Graduate teaching assistants</c:v>
                </c:pt>
                <c:pt idx="24">
                  <c:v>Digital support</c:v>
                </c:pt>
                <c:pt idx="25">
                  <c:v>(Student)progression</c:v>
                </c:pt>
                <c:pt idx="26">
                  <c:v>Mathematics Support Centre</c:v>
                </c:pt>
                <c:pt idx="27">
                  <c:v>Secondary-tertiary transition</c:v>
                </c:pt>
                <c:pt idx="28">
                  <c:v>Peer Tutoring</c:v>
                </c:pt>
                <c:pt idx="29">
                  <c:v>Mathematics/maths anxiety</c:v>
                </c:pt>
              </c:strCache>
            </c:strRef>
          </c:cat>
          <c:val>
            <c:numRef>
              <c:f>Summary!$G$14:$G$43</c:f>
              <c:numCache>
                <c:formatCode>General</c:formatCode>
                <c:ptCount val="30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3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390-D04D-A411-2218F519A3E4}"/>
            </c:ext>
          </c:extLst>
        </c:ser>
        <c:ser>
          <c:idx val="5"/>
          <c:order val="5"/>
          <c:tx>
            <c:strRef>
              <c:f>Summary!$H$13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9AAF25"/>
            </a:solidFill>
            <a:ln>
              <a:noFill/>
            </a:ln>
            <a:effectLst/>
          </c:spPr>
          <c:invertIfNegative val="0"/>
          <c:cat>
            <c:strRef>
              <c:f>Summary!$B$14:$B$43</c:f>
              <c:strCache>
                <c:ptCount val="30"/>
                <c:pt idx="0">
                  <c:v>Mathematics support</c:v>
                </c:pt>
                <c:pt idx="1">
                  <c:v>Mathematics </c:v>
                </c:pt>
                <c:pt idx="2">
                  <c:v>Mathematics education</c:v>
                </c:pt>
                <c:pt idx="3">
                  <c:v>Tutor(s)</c:v>
                </c:pt>
                <c:pt idx="4">
                  <c:v>Evaluation</c:v>
                </c:pt>
                <c:pt idx="5">
                  <c:v>Higher Education</c:v>
                </c:pt>
                <c:pt idx="6">
                  <c:v>First year/First-year</c:v>
                </c:pt>
                <c:pt idx="7">
                  <c:v>Engagement</c:v>
                </c:pt>
                <c:pt idx="8">
                  <c:v>Calculus</c:v>
                </c:pt>
                <c:pt idx="9">
                  <c:v>Maths support</c:v>
                </c:pt>
                <c:pt idx="10">
                  <c:v>(Student) Retention</c:v>
                </c:pt>
                <c:pt idx="11">
                  <c:v>Assessment</c:v>
                </c:pt>
                <c:pt idx="12">
                  <c:v>Learning support</c:v>
                </c:pt>
                <c:pt idx="13">
                  <c:v>Mathematics learning support</c:v>
                </c:pt>
                <c:pt idx="14">
                  <c:v>Community</c:v>
                </c:pt>
                <c:pt idx="15">
                  <c:v>Mathematics and statistics support</c:v>
                </c:pt>
                <c:pt idx="16">
                  <c:v>Diagnostic tool/testing/assessment</c:v>
                </c:pt>
                <c:pt idx="17">
                  <c:v>Statistics support</c:v>
                </c:pt>
                <c:pt idx="18">
                  <c:v>Tutor Training</c:v>
                </c:pt>
                <c:pt idx="19">
                  <c:v>(Mathematics) Teacher education</c:v>
                </c:pt>
                <c:pt idx="20">
                  <c:v>Belief(s)</c:v>
                </c:pt>
                <c:pt idx="21">
                  <c:v>Undergraduate</c:v>
                </c:pt>
                <c:pt idx="22">
                  <c:v>Tertiary education</c:v>
                </c:pt>
                <c:pt idx="23">
                  <c:v>Graduate teaching assistants</c:v>
                </c:pt>
                <c:pt idx="24">
                  <c:v>Digital support</c:v>
                </c:pt>
                <c:pt idx="25">
                  <c:v>(Student)progression</c:v>
                </c:pt>
                <c:pt idx="26">
                  <c:v>Mathematics Support Centre</c:v>
                </c:pt>
                <c:pt idx="27">
                  <c:v>Secondary-tertiary transition</c:v>
                </c:pt>
                <c:pt idx="28">
                  <c:v>Peer Tutoring</c:v>
                </c:pt>
                <c:pt idx="29">
                  <c:v>Mathematics/maths anxiety</c:v>
                </c:pt>
              </c:strCache>
            </c:strRef>
          </c:cat>
          <c:val>
            <c:numRef>
              <c:f>Summary!$H$14:$H$43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390-D04D-A411-2218F519A3E4}"/>
            </c:ext>
          </c:extLst>
        </c:ser>
        <c:ser>
          <c:idx val="6"/>
          <c:order val="6"/>
          <c:tx>
            <c:strRef>
              <c:f>Summary!$I$13</c:f>
              <c:strCache>
                <c:ptCount val="1"/>
                <c:pt idx="0">
                  <c:v>Multiple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Summary!$B$14:$B$43</c:f>
              <c:strCache>
                <c:ptCount val="30"/>
                <c:pt idx="0">
                  <c:v>Mathematics support</c:v>
                </c:pt>
                <c:pt idx="1">
                  <c:v>Mathematics </c:v>
                </c:pt>
                <c:pt idx="2">
                  <c:v>Mathematics education</c:v>
                </c:pt>
                <c:pt idx="3">
                  <c:v>Tutor(s)</c:v>
                </c:pt>
                <c:pt idx="4">
                  <c:v>Evaluation</c:v>
                </c:pt>
                <c:pt idx="5">
                  <c:v>Higher Education</c:v>
                </c:pt>
                <c:pt idx="6">
                  <c:v>First year/First-year</c:v>
                </c:pt>
                <c:pt idx="7">
                  <c:v>Engagement</c:v>
                </c:pt>
                <c:pt idx="8">
                  <c:v>Calculus</c:v>
                </c:pt>
                <c:pt idx="9">
                  <c:v>Maths support</c:v>
                </c:pt>
                <c:pt idx="10">
                  <c:v>(Student) Retention</c:v>
                </c:pt>
                <c:pt idx="11">
                  <c:v>Assessment</c:v>
                </c:pt>
                <c:pt idx="12">
                  <c:v>Learning support</c:v>
                </c:pt>
                <c:pt idx="13">
                  <c:v>Mathematics learning support</c:v>
                </c:pt>
                <c:pt idx="14">
                  <c:v>Community</c:v>
                </c:pt>
                <c:pt idx="15">
                  <c:v>Mathematics and statistics support</c:v>
                </c:pt>
                <c:pt idx="16">
                  <c:v>Diagnostic tool/testing/assessment</c:v>
                </c:pt>
                <c:pt idx="17">
                  <c:v>Statistics support</c:v>
                </c:pt>
                <c:pt idx="18">
                  <c:v>Tutor Training</c:v>
                </c:pt>
                <c:pt idx="19">
                  <c:v>(Mathematics) Teacher education</c:v>
                </c:pt>
                <c:pt idx="20">
                  <c:v>Belief(s)</c:v>
                </c:pt>
                <c:pt idx="21">
                  <c:v>Undergraduate</c:v>
                </c:pt>
                <c:pt idx="22">
                  <c:v>Tertiary education</c:v>
                </c:pt>
                <c:pt idx="23">
                  <c:v>Graduate teaching assistants</c:v>
                </c:pt>
                <c:pt idx="24">
                  <c:v>Digital support</c:v>
                </c:pt>
                <c:pt idx="25">
                  <c:v>(Student)progression</c:v>
                </c:pt>
                <c:pt idx="26">
                  <c:v>Mathematics Support Centre</c:v>
                </c:pt>
                <c:pt idx="27">
                  <c:v>Secondary-tertiary transition</c:v>
                </c:pt>
                <c:pt idx="28">
                  <c:v>Peer Tutoring</c:v>
                </c:pt>
                <c:pt idx="29">
                  <c:v>Mathematics/maths anxiety</c:v>
                </c:pt>
              </c:strCache>
            </c:strRef>
          </c:cat>
          <c:val>
            <c:numRef>
              <c:f>Summary!$I$14:$I$43</c:f>
              <c:numCache>
                <c:formatCode>General</c:formatCode>
                <c:ptCount val="30"/>
                <c:pt idx="0">
                  <c:v>8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390-D04D-A411-2218F519A3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1779792"/>
        <c:axId val="81295072"/>
      </c:barChart>
      <c:catAx>
        <c:axId val="8177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95072"/>
        <c:crosses val="autoZero"/>
        <c:auto val="1"/>
        <c:lblAlgn val="ctr"/>
        <c:lblOffset val="100"/>
        <c:noMultiLvlLbl val="0"/>
      </c:catAx>
      <c:valAx>
        <c:axId val="8129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79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Included Sources by Country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Summary!$B$1</c:f>
              <c:strCache>
                <c:ptCount val="1"/>
                <c:pt idx="0">
                  <c:v>No. of Included Articles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B51-7042-80AA-A8AE11F62F7B}"/>
              </c:ext>
            </c:extLst>
          </c:dPt>
          <c:dPt>
            <c:idx val="1"/>
            <c:bubble3D val="0"/>
            <c:spPr>
              <a:solidFill>
                <a:srgbClr val="ED2CE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B51-7042-80AA-A8AE11F62F7B}"/>
              </c:ext>
            </c:extLst>
          </c:dPt>
          <c:dPt>
            <c:idx val="2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FB51-7042-80AA-A8AE11F62F7B}"/>
              </c:ext>
            </c:extLst>
          </c:dPt>
          <c:dPt>
            <c:idx val="3"/>
            <c:bubble3D val="0"/>
            <c:spPr>
              <a:solidFill>
                <a:srgbClr val="E14A4D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B51-7042-80AA-A8AE11F62F7B}"/>
              </c:ext>
            </c:extLst>
          </c:dPt>
          <c:dPt>
            <c:idx val="4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B51-7042-80AA-A8AE11F62F7B}"/>
              </c:ext>
            </c:extLst>
          </c:dPt>
          <c:dPt>
            <c:idx val="5"/>
            <c:bubble3D val="0"/>
            <c:spPr>
              <a:solidFill>
                <a:srgbClr val="9AAF2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FB51-7042-80AA-A8AE11F62F7B}"/>
              </c:ext>
            </c:extLst>
          </c:dPt>
          <c:dPt>
            <c:idx val="6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B51-7042-80AA-A8AE11F62F7B}"/>
              </c:ext>
            </c:extLst>
          </c:dPt>
          <c:dLbls>
            <c:dLbl>
              <c:idx val="5"/>
              <c:layout>
                <c:manualLayout>
                  <c:x val="4.8543690386680577E-2"/>
                  <c:y val="6.6696493188404885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B51-7042-80AA-A8AE11F62F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Summary!$A$2:$A$8</c:f>
              <c:strCache>
                <c:ptCount val="7"/>
                <c:pt idx="0">
                  <c:v>UK</c:v>
                </c:pt>
                <c:pt idx="1">
                  <c:v>USA</c:v>
                </c:pt>
                <c:pt idx="2">
                  <c:v>Ireland</c:v>
                </c:pt>
                <c:pt idx="3">
                  <c:v>Australia</c:v>
                </c:pt>
                <c:pt idx="4">
                  <c:v>Germany</c:v>
                </c:pt>
                <c:pt idx="5">
                  <c:v>Other</c:v>
                </c:pt>
                <c:pt idx="6">
                  <c:v>Multiple</c:v>
                </c:pt>
              </c:strCache>
            </c:strRef>
          </c:cat>
          <c:val>
            <c:numRef>
              <c:f>Summary!$B$2:$B$8</c:f>
              <c:numCache>
                <c:formatCode>General</c:formatCode>
                <c:ptCount val="7"/>
                <c:pt idx="0">
                  <c:v>45</c:v>
                </c:pt>
                <c:pt idx="1">
                  <c:v>17</c:v>
                </c:pt>
                <c:pt idx="2">
                  <c:v>25</c:v>
                </c:pt>
                <c:pt idx="3">
                  <c:v>20</c:v>
                </c:pt>
                <c:pt idx="4">
                  <c:v>7</c:v>
                </c:pt>
                <c:pt idx="5">
                  <c:v>6</c:v>
                </c:pt>
                <c:pt idx="6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51-7042-80AA-A8AE11F62F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603250</xdr:colOff>
      <xdr:row>13</xdr:row>
      <xdr:rowOff>76200</xdr:rowOff>
    </xdr:from>
    <xdr:to>
      <xdr:col>22</xdr:col>
      <xdr:colOff>127000</xdr:colOff>
      <xdr:row>41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D1C5FE8-498F-F367-F768-F441B60EDD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67733</xdr:colOff>
      <xdr:row>46</xdr:row>
      <xdr:rowOff>59267</xdr:rowOff>
    </xdr:from>
    <xdr:to>
      <xdr:col>15</xdr:col>
      <xdr:colOff>491067</xdr:colOff>
      <xdr:row>59</xdr:row>
      <xdr:rowOff>160867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67626B-9FF3-40F2-8C77-764592769A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31B95-0A72-C64C-9823-CC60B19536C9}">
  <dimension ref="A1:Q201"/>
  <sheetViews>
    <sheetView tabSelected="1" topLeftCell="H2" zoomScale="83" workbookViewId="0">
      <selection activeCell="M27" sqref="M27"/>
    </sheetView>
  </sheetViews>
  <sheetFormatPr baseColWidth="10" defaultRowHeight="16" x14ac:dyDescent="0.2"/>
  <cols>
    <col min="1" max="1" width="10.83203125" style="1"/>
    <col min="2" max="2" width="20" style="1" bestFit="1" customWidth="1"/>
    <col min="3" max="3" width="21" customWidth="1"/>
    <col min="5" max="5" width="27" bestFit="1" customWidth="1"/>
    <col min="6" max="6" width="5.5" bestFit="1" customWidth="1"/>
    <col min="7" max="7" width="225" bestFit="1" customWidth="1"/>
    <col min="8" max="8" width="74.33203125" bestFit="1" customWidth="1"/>
    <col min="9" max="9" width="18.83203125" customWidth="1"/>
    <col min="10" max="10" width="35.1640625" customWidth="1"/>
    <col min="11" max="12" width="10.6640625" customWidth="1"/>
  </cols>
  <sheetData>
    <row r="1" spans="1:17" x14ac:dyDescent="0.2">
      <c r="A1" s="4" t="s">
        <v>0</v>
      </c>
      <c r="B1" s="4" t="s">
        <v>5</v>
      </c>
      <c r="C1" s="5" t="s">
        <v>1</v>
      </c>
      <c r="D1" s="5" t="s">
        <v>2</v>
      </c>
      <c r="E1" s="5" t="s">
        <v>71</v>
      </c>
      <c r="F1" s="5" t="s">
        <v>126</v>
      </c>
      <c r="G1" s="5" t="s">
        <v>3</v>
      </c>
      <c r="H1" s="5" t="s">
        <v>4</v>
      </c>
      <c r="I1" s="11"/>
      <c r="J1" s="11"/>
    </row>
    <row r="2" spans="1:17" x14ac:dyDescent="0.2">
      <c r="A2" s="6">
        <v>1</v>
      </c>
      <c r="B2" s="6" t="s">
        <v>6</v>
      </c>
      <c r="C2" s="7" t="s">
        <v>7</v>
      </c>
      <c r="D2" s="7">
        <v>2020</v>
      </c>
      <c r="E2" s="7" t="s">
        <v>128</v>
      </c>
      <c r="F2" s="7" t="s">
        <v>127</v>
      </c>
      <c r="G2" s="7" t="s">
        <v>9</v>
      </c>
      <c r="H2" s="7" t="s">
        <v>8</v>
      </c>
      <c r="I2" s="3"/>
      <c r="J2" s="3"/>
      <c r="K2" s="3"/>
      <c r="L2" s="3"/>
      <c r="M2" s="3"/>
      <c r="N2" s="3"/>
      <c r="O2" s="3"/>
      <c r="P2" s="3"/>
      <c r="Q2" s="3"/>
    </row>
    <row r="3" spans="1:17" x14ac:dyDescent="0.2">
      <c r="A3" s="6">
        <v>2</v>
      </c>
      <c r="B3" s="6" t="s">
        <v>10</v>
      </c>
      <c r="C3" s="7" t="s">
        <v>7</v>
      </c>
      <c r="D3" s="7">
        <v>2008</v>
      </c>
      <c r="E3" s="7" t="s">
        <v>128</v>
      </c>
      <c r="F3" s="7" t="s">
        <v>128</v>
      </c>
      <c r="G3" s="7" t="s">
        <v>11</v>
      </c>
      <c r="H3" s="7" t="s">
        <v>10</v>
      </c>
      <c r="I3" s="3"/>
      <c r="J3" s="3"/>
      <c r="K3" s="3"/>
      <c r="L3" s="3"/>
      <c r="M3" s="3"/>
      <c r="N3" s="3"/>
      <c r="O3" s="3"/>
      <c r="P3" s="3"/>
      <c r="Q3" s="3"/>
    </row>
    <row r="4" spans="1:17" x14ac:dyDescent="0.2">
      <c r="A4" s="6">
        <v>3</v>
      </c>
      <c r="B4" s="6" t="s">
        <v>12</v>
      </c>
      <c r="C4" s="7" t="s">
        <v>7</v>
      </c>
      <c r="D4" s="7">
        <v>2011</v>
      </c>
      <c r="E4" s="7" t="s">
        <v>128</v>
      </c>
      <c r="F4" s="7" t="s">
        <v>127</v>
      </c>
      <c r="G4" s="7" t="s">
        <v>11</v>
      </c>
      <c r="H4" s="7" t="s">
        <v>12</v>
      </c>
      <c r="I4" s="3"/>
      <c r="J4" s="7" t="s">
        <v>208</v>
      </c>
      <c r="K4" s="7" t="s">
        <v>7</v>
      </c>
      <c r="L4" s="7" t="s">
        <v>49</v>
      </c>
      <c r="M4" s="7" t="s">
        <v>136</v>
      </c>
      <c r="N4" s="7" t="s">
        <v>130</v>
      </c>
      <c r="O4" s="7" t="s">
        <v>167</v>
      </c>
      <c r="P4" s="7" t="s">
        <v>211</v>
      </c>
      <c r="Q4" s="3"/>
    </row>
    <row r="5" spans="1:17" x14ac:dyDescent="0.2">
      <c r="A5" s="6">
        <v>4</v>
      </c>
      <c r="B5" s="6" t="s">
        <v>13</v>
      </c>
      <c r="C5" s="7" t="s">
        <v>7</v>
      </c>
      <c r="D5" s="7">
        <v>2018</v>
      </c>
      <c r="E5" s="7" t="s">
        <v>128</v>
      </c>
      <c r="F5" s="7" t="s">
        <v>127</v>
      </c>
      <c r="G5" s="7" t="s">
        <v>129</v>
      </c>
      <c r="H5" s="7" t="s">
        <v>94</v>
      </c>
      <c r="I5" s="3"/>
      <c r="J5" s="7" t="s">
        <v>209</v>
      </c>
      <c r="K5" s="7">
        <f>COUNTIF(C2:C120, C2)</f>
        <v>86</v>
      </c>
      <c r="L5" s="7">
        <f>COUNTIF(C2:C120,L4)</f>
        <v>20</v>
      </c>
      <c r="M5" s="7">
        <f>COUNTIF(C2:C120,M4)</f>
        <v>11</v>
      </c>
      <c r="N5" s="7">
        <f>COUNTIF(C2:C120,N4)</f>
        <v>2</v>
      </c>
      <c r="O5" s="7">
        <f>COUNTIF(C2:C120,O4)</f>
        <v>0</v>
      </c>
      <c r="P5" s="7">
        <f>SUM(K5:O5)</f>
        <v>119</v>
      </c>
      <c r="Q5" s="3"/>
    </row>
    <row r="6" spans="1:17" x14ac:dyDescent="0.2">
      <c r="A6" s="6">
        <v>5</v>
      </c>
      <c r="B6" s="6" t="s">
        <v>13</v>
      </c>
      <c r="C6" s="7" t="s">
        <v>7</v>
      </c>
      <c r="D6" s="7">
        <v>2012</v>
      </c>
      <c r="E6" s="7" t="s">
        <v>128</v>
      </c>
      <c r="F6" s="7" t="s">
        <v>127</v>
      </c>
      <c r="G6" s="7" t="s">
        <v>11</v>
      </c>
      <c r="H6" s="7" t="s">
        <v>94</v>
      </c>
      <c r="I6" s="3"/>
      <c r="J6" s="3"/>
      <c r="K6" s="3"/>
      <c r="L6" s="3"/>
      <c r="M6" s="3"/>
      <c r="N6" s="3"/>
      <c r="O6" s="3"/>
      <c r="P6" s="3"/>
      <c r="Q6" s="3"/>
    </row>
    <row r="7" spans="1:17" x14ac:dyDescent="0.2">
      <c r="A7" s="6">
        <v>6</v>
      </c>
      <c r="B7" s="6" t="s">
        <v>14</v>
      </c>
      <c r="C7" s="7" t="s">
        <v>130</v>
      </c>
      <c r="D7" s="7">
        <v>2008</v>
      </c>
      <c r="E7" s="7" t="s">
        <v>128</v>
      </c>
      <c r="F7" s="7" t="s">
        <v>127</v>
      </c>
      <c r="G7" s="7" t="s">
        <v>11</v>
      </c>
      <c r="H7" s="7" t="s">
        <v>95</v>
      </c>
      <c r="I7" s="3"/>
      <c r="J7" s="3"/>
      <c r="K7" s="3"/>
      <c r="L7" s="3"/>
      <c r="M7" s="3"/>
      <c r="N7" s="3"/>
      <c r="O7" s="3"/>
      <c r="P7" s="3"/>
      <c r="Q7" s="3"/>
    </row>
    <row r="8" spans="1:17" x14ac:dyDescent="0.2">
      <c r="A8" s="6">
        <v>7</v>
      </c>
      <c r="B8" s="6" t="s">
        <v>15</v>
      </c>
      <c r="C8" s="7" t="s">
        <v>7</v>
      </c>
      <c r="D8" s="7">
        <v>1994</v>
      </c>
      <c r="E8" s="7" t="s">
        <v>128</v>
      </c>
      <c r="F8" s="7" t="s">
        <v>128</v>
      </c>
      <c r="G8" s="7" t="s">
        <v>11</v>
      </c>
      <c r="H8" s="7" t="s">
        <v>96</v>
      </c>
      <c r="I8" s="3"/>
      <c r="J8" s="3"/>
      <c r="K8" s="3"/>
      <c r="L8" s="3"/>
      <c r="M8" s="3"/>
      <c r="N8" s="3"/>
      <c r="O8" s="3"/>
      <c r="P8" s="3"/>
      <c r="Q8" s="3"/>
    </row>
    <row r="9" spans="1:17" x14ac:dyDescent="0.2">
      <c r="A9" s="6">
        <v>8</v>
      </c>
      <c r="B9" s="6" t="s">
        <v>16</v>
      </c>
      <c r="C9" s="7" t="s">
        <v>7</v>
      </c>
      <c r="D9" s="7">
        <v>2004</v>
      </c>
      <c r="E9" s="7" t="s">
        <v>128</v>
      </c>
      <c r="F9" s="7" t="s">
        <v>127</v>
      </c>
      <c r="G9" s="7" t="s">
        <v>11</v>
      </c>
      <c r="H9" s="7" t="s">
        <v>94</v>
      </c>
      <c r="I9" s="3"/>
      <c r="J9" s="7" t="s">
        <v>208</v>
      </c>
      <c r="K9" s="7" t="s">
        <v>7</v>
      </c>
      <c r="L9" s="7" t="s">
        <v>49</v>
      </c>
      <c r="M9" s="7" t="s">
        <v>136</v>
      </c>
      <c r="N9" s="7" t="s">
        <v>130</v>
      </c>
      <c r="O9" s="7" t="s">
        <v>167</v>
      </c>
      <c r="P9" s="7" t="s">
        <v>211</v>
      </c>
      <c r="Q9" s="3"/>
    </row>
    <row r="10" spans="1:17" x14ac:dyDescent="0.2">
      <c r="A10" s="6">
        <v>9</v>
      </c>
      <c r="B10" s="6" t="s">
        <v>17</v>
      </c>
      <c r="C10" s="7" t="s">
        <v>7</v>
      </c>
      <c r="D10" s="7">
        <v>1999</v>
      </c>
      <c r="E10" s="7" t="s">
        <v>128</v>
      </c>
      <c r="F10" s="7" t="s">
        <v>128</v>
      </c>
      <c r="G10" s="7" t="s">
        <v>11</v>
      </c>
      <c r="H10" s="7" t="s">
        <v>17</v>
      </c>
      <c r="I10" s="3"/>
      <c r="J10" s="7" t="s">
        <v>210</v>
      </c>
      <c r="K10" s="7">
        <f>COUNTIFS(C2:C120,C2, F2:F120,F2)</f>
        <v>67</v>
      </c>
      <c r="L10" s="7">
        <f>COUNTIFS(C2:C120,C12, F2:F120,F2)</f>
        <v>19</v>
      </c>
      <c r="M10" s="7">
        <f>COUNTIFS(C2:C120,C36, F2:F120,F2)</f>
        <v>11</v>
      </c>
      <c r="N10" s="7">
        <f>COUNTIFS(C2:C120,C7, F2:F120,F2)</f>
        <v>2</v>
      </c>
      <c r="O10" s="7">
        <f>COUNTIF(C6:C124,O9)</f>
        <v>0</v>
      </c>
      <c r="P10" s="7">
        <f>SUM(K10:O10)</f>
        <v>99</v>
      </c>
      <c r="Q10" s="3"/>
    </row>
    <row r="11" spans="1:17" x14ac:dyDescent="0.2">
      <c r="A11" s="6">
        <v>10</v>
      </c>
      <c r="B11" s="6" t="s">
        <v>18</v>
      </c>
      <c r="C11" s="7" t="s">
        <v>7</v>
      </c>
      <c r="D11" s="7">
        <v>2010</v>
      </c>
      <c r="E11" s="7" t="s">
        <v>128</v>
      </c>
      <c r="F11" s="7" t="s">
        <v>128</v>
      </c>
      <c r="G11" s="7" t="s">
        <v>11</v>
      </c>
      <c r="H11" s="7" t="s">
        <v>18</v>
      </c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A12" s="6">
        <v>11</v>
      </c>
      <c r="B12" s="6" t="s">
        <v>19</v>
      </c>
      <c r="C12" s="7" t="s">
        <v>49</v>
      </c>
      <c r="D12" s="7">
        <v>2015</v>
      </c>
      <c r="E12" s="7" t="s">
        <v>128</v>
      </c>
      <c r="F12" s="7" t="s">
        <v>127</v>
      </c>
      <c r="G12" s="8" t="s">
        <v>11</v>
      </c>
      <c r="H12" s="7" t="s">
        <v>97</v>
      </c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">
      <c r="A13" s="6">
        <v>12</v>
      </c>
      <c r="B13" s="6" t="s">
        <v>20</v>
      </c>
      <c r="C13" s="7" t="s">
        <v>7</v>
      </c>
      <c r="D13" s="7">
        <v>1994</v>
      </c>
      <c r="E13" s="7" t="s">
        <v>128</v>
      </c>
      <c r="F13" s="7" t="s">
        <v>127</v>
      </c>
      <c r="G13" s="7" t="s">
        <v>11</v>
      </c>
      <c r="H13" s="7" t="s">
        <v>98</v>
      </c>
      <c r="I13" s="3"/>
      <c r="J13" s="7" t="s">
        <v>208</v>
      </c>
      <c r="K13" s="7" t="s">
        <v>7</v>
      </c>
      <c r="L13" s="7" t="s">
        <v>49</v>
      </c>
      <c r="M13" s="7" t="s">
        <v>136</v>
      </c>
      <c r="N13" s="7" t="s">
        <v>130</v>
      </c>
      <c r="O13" s="7" t="s">
        <v>167</v>
      </c>
      <c r="P13" s="7" t="s">
        <v>211</v>
      </c>
      <c r="Q13" s="3"/>
    </row>
    <row r="14" spans="1:17" x14ac:dyDescent="0.2">
      <c r="A14" s="6">
        <v>13</v>
      </c>
      <c r="B14" s="6" t="s">
        <v>20</v>
      </c>
      <c r="C14" s="7" t="s">
        <v>7</v>
      </c>
      <c r="D14" s="7">
        <v>1997</v>
      </c>
      <c r="E14" s="7" t="s">
        <v>128</v>
      </c>
      <c r="F14" s="7" t="s">
        <v>127</v>
      </c>
      <c r="G14" s="7" t="s">
        <v>11</v>
      </c>
      <c r="H14" s="7" t="s">
        <v>98</v>
      </c>
      <c r="I14" s="3"/>
      <c r="J14" s="7" t="s">
        <v>213</v>
      </c>
      <c r="K14" s="7">
        <f>COUNTIFS(C2:C120,C6, F2:F120,F6, G2:G120, "&lt;&gt;N/A")</f>
        <v>16</v>
      </c>
      <c r="L14" s="7">
        <f>COUNTIFS(C2:C120,C20, F2:F120,F6, G2:G120, "&lt;&gt;N/A")</f>
        <v>11</v>
      </c>
      <c r="M14" s="7">
        <f>COUNTIFS(C2:C120,C36, F2:F120,F6, G2:G120, "&lt;&gt;N/A")</f>
        <v>9</v>
      </c>
      <c r="N14" s="7">
        <f>COUNTIFS(C2:C120,C7, F2:F120,F6, G2:G120, "&lt;&gt;N/A")</f>
        <v>1</v>
      </c>
      <c r="O14" s="7">
        <f>COUNTIF(C10:C128,O13)</f>
        <v>0</v>
      </c>
      <c r="P14" s="7">
        <f>SUM(K14:O14)</f>
        <v>37</v>
      </c>
      <c r="Q14" s="3"/>
    </row>
    <row r="15" spans="1:17" x14ac:dyDescent="0.2">
      <c r="A15" s="6">
        <v>14</v>
      </c>
      <c r="B15" s="6" t="s">
        <v>20</v>
      </c>
      <c r="C15" s="7" t="s">
        <v>7</v>
      </c>
      <c r="D15" s="7">
        <v>1999</v>
      </c>
      <c r="E15" s="7" t="s">
        <v>128</v>
      </c>
      <c r="F15" s="7" t="s">
        <v>127</v>
      </c>
      <c r="G15" s="7" t="s">
        <v>11</v>
      </c>
      <c r="H15" s="7" t="s">
        <v>98</v>
      </c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">
      <c r="A16" s="6">
        <v>15</v>
      </c>
      <c r="B16" s="6" t="s">
        <v>20</v>
      </c>
      <c r="C16" s="7" t="s">
        <v>7</v>
      </c>
      <c r="D16" s="7">
        <v>1994</v>
      </c>
      <c r="E16" s="7" t="s">
        <v>128</v>
      </c>
      <c r="F16" s="7" t="s">
        <v>127</v>
      </c>
      <c r="G16" s="7" t="s">
        <v>11</v>
      </c>
      <c r="H16" s="7" t="s">
        <v>98</v>
      </c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">
      <c r="A17" s="6">
        <v>16</v>
      </c>
      <c r="B17" s="6" t="s">
        <v>21</v>
      </c>
      <c r="C17" s="7" t="s">
        <v>7</v>
      </c>
      <c r="D17" s="7">
        <v>2002</v>
      </c>
      <c r="E17" s="7" t="s">
        <v>128</v>
      </c>
      <c r="F17" s="7" t="s">
        <v>127</v>
      </c>
      <c r="G17" s="7" t="s">
        <v>11</v>
      </c>
      <c r="H17" s="7" t="s">
        <v>94</v>
      </c>
      <c r="I17" s="3"/>
      <c r="J17" s="7" t="s">
        <v>214</v>
      </c>
      <c r="K17" s="7" t="s">
        <v>94</v>
      </c>
      <c r="L17" s="7" t="s">
        <v>97</v>
      </c>
      <c r="M17" s="7" t="s">
        <v>8</v>
      </c>
      <c r="N17" s="7" t="s">
        <v>215</v>
      </c>
      <c r="O17" s="3"/>
      <c r="P17" s="3"/>
      <c r="Q17" s="3"/>
    </row>
    <row r="18" spans="1:17" x14ac:dyDescent="0.2">
      <c r="A18" s="6">
        <v>17</v>
      </c>
      <c r="B18" s="6" t="s">
        <v>21</v>
      </c>
      <c r="C18" s="7" t="s">
        <v>7</v>
      </c>
      <c r="D18" s="7">
        <v>2003</v>
      </c>
      <c r="E18" s="7" t="s">
        <v>128</v>
      </c>
      <c r="F18" s="7" t="s">
        <v>127</v>
      </c>
      <c r="G18" s="7" t="s">
        <v>11</v>
      </c>
      <c r="H18" s="7" t="s">
        <v>94</v>
      </c>
      <c r="I18" s="3"/>
      <c r="J18" s="7" t="s">
        <v>209</v>
      </c>
      <c r="K18" s="7">
        <f>COUNTIF(H2:H120,H5)</f>
        <v>30</v>
      </c>
      <c r="L18" s="7">
        <f>COUNTIF(H2:H120, H12)</f>
        <v>17</v>
      </c>
      <c r="M18" s="7">
        <f>COUNTIF(H2:H120, H29)</f>
        <v>13</v>
      </c>
      <c r="N18" s="7">
        <f>COUNTIF(H2:H120,H15)</f>
        <v>7</v>
      </c>
      <c r="O18" s="3"/>
      <c r="P18" s="3"/>
      <c r="Q18" s="3"/>
    </row>
    <row r="19" spans="1:17" x14ac:dyDescent="0.2">
      <c r="A19" s="6">
        <v>18</v>
      </c>
      <c r="B19" s="6" t="s">
        <v>22</v>
      </c>
      <c r="C19" s="7" t="s">
        <v>7</v>
      </c>
      <c r="D19" s="7">
        <v>1998</v>
      </c>
      <c r="E19" s="7" t="s">
        <v>128</v>
      </c>
      <c r="F19" s="7" t="s">
        <v>128</v>
      </c>
      <c r="G19" s="7" t="s">
        <v>11</v>
      </c>
      <c r="H19" s="7" t="s">
        <v>99</v>
      </c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">
      <c r="A20" s="6">
        <v>19</v>
      </c>
      <c r="B20" s="6" t="s">
        <v>23</v>
      </c>
      <c r="C20" s="7" t="s">
        <v>49</v>
      </c>
      <c r="D20" s="7">
        <v>2015</v>
      </c>
      <c r="E20" s="7" t="s">
        <v>128</v>
      </c>
      <c r="F20" s="7" t="s">
        <v>127</v>
      </c>
      <c r="G20" s="7" t="s">
        <v>11</v>
      </c>
      <c r="H20" s="7" t="s">
        <v>97</v>
      </c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">
      <c r="A21" s="6">
        <v>20</v>
      </c>
      <c r="B21" s="6" t="s">
        <v>24</v>
      </c>
      <c r="C21" s="7" t="s">
        <v>7</v>
      </c>
      <c r="D21" s="7">
        <v>2012</v>
      </c>
      <c r="E21" s="7" t="s">
        <v>128</v>
      </c>
      <c r="F21" s="7" t="s">
        <v>128</v>
      </c>
      <c r="G21" s="7" t="s">
        <v>11</v>
      </c>
      <c r="H21" s="7" t="s">
        <v>24</v>
      </c>
      <c r="I21" s="3"/>
      <c r="J21" s="7" t="s">
        <v>258</v>
      </c>
      <c r="K21" s="7">
        <f>(COUNTIFS(E2:E120, E33)/P5) * 100</f>
        <v>2.5210084033613445</v>
      </c>
      <c r="L21" s="3"/>
      <c r="M21" s="3"/>
      <c r="N21" s="3"/>
      <c r="O21" s="3"/>
      <c r="P21" s="3"/>
      <c r="Q21" s="3"/>
    </row>
    <row r="22" spans="1:17" x14ac:dyDescent="0.2">
      <c r="A22" s="6">
        <v>21</v>
      </c>
      <c r="B22" s="6" t="s">
        <v>24</v>
      </c>
      <c r="C22" s="7" t="s">
        <v>7</v>
      </c>
      <c r="D22" s="7">
        <v>2015</v>
      </c>
      <c r="E22" s="7" t="s">
        <v>128</v>
      </c>
      <c r="F22" s="7" t="s">
        <v>128</v>
      </c>
      <c r="G22" s="7" t="s">
        <v>11</v>
      </c>
      <c r="H22" s="7" t="s">
        <v>24</v>
      </c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">
      <c r="A23" s="6">
        <v>22</v>
      </c>
      <c r="B23" s="6" t="s">
        <v>25</v>
      </c>
      <c r="C23" s="7" t="s">
        <v>7</v>
      </c>
      <c r="D23" s="7">
        <v>2017</v>
      </c>
      <c r="E23" s="7" t="s">
        <v>128</v>
      </c>
      <c r="F23" s="8" t="s">
        <v>127</v>
      </c>
      <c r="G23" s="8" t="s">
        <v>174</v>
      </c>
      <c r="H23" s="7" t="s">
        <v>100</v>
      </c>
      <c r="I23" s="3"/>
      <c r="J23" s="7" t="s">
        <v>212</v>
      </c>
      <c r="K23" s="7">
        <f>AVERAGE(D2:D120)</f>
        <v>2009.672268907563</v>
      </c>
      <c r="L23" s="3"/>
      <c r="M23" s="3"/>
      <c r="N23" s="3"/>
      <c r="O23" s="3"/>
      <c r="P23" s="3"/>
      <c r="Q23" s="3"/>
    </row>
    <row r="24" spans="1:17" x14ac:dyDescent="0.2">
      <c r="A24" s="6">
        <v>23</v>
      </c>
      <c r="B24" s="6" t="s">
        <v>26</v>
      </c>
      <c r="C24" s="7" t="s">
        <v>7</v>
      </c>
      <c r="D24" s="7">
        <v>2015</v>
      </c>
      <c r="E24" s="7" t="s">
        <v>128</v>
      </c>
      <c r="F24" s="7" t="s">
        <v>127</v>
      </c>
      <c r="G24" s="7" t="s">
        <v>11</v>
      </c>
      <c r="H24" s="7" t="s">
        <v>101</v>
      </c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">
      <c r="A25" s="6">
        <v>24</v>
      </c>
      <c r="B25" s="6" t="s">
        <v>27</v>
      </c>
      <c r="C25" s="7" t="s">
        <v>7</v>
      </c>
      <c r="D25" s="7">
        <v>2009</v>
      </c>
      <c r="E25" s="7" t="s">
        <v>128</v>
      </c>
      <c r="F25" s="7" t="s">
        <v>127</v>
      </c>
      <c r="G25" s="7" t="s">
        <v>11</v>
      </c>
      <c r="H25" s="7" t="s">
        <v>102</v>
      </c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">
      <c r="A26" s="6">
        <v>25</v>
      </c>
      <c r="B26" s="6" t="s">
        <v>27</v>
      </c>
      <c r="C26" s="7" t="s">
        <v>7</v>
      </c>
      <c r="D26" s="7">
        <v>2011</v>
      </c>
      <c r="E26" s="7" t="s">
        <v>128</v>
      </c>
      <c r="F26" s="7" t="s">
        <v>127</v>
      </c>
      <c r="G26" s="7" t="s">
        <v>11</v>
      </c>
      <c r="H26" s="7" t="s">
        <v>103</v>
      </c>
      <c r="I26" s="3"/>
      <c r="J26" s="5" t="s">
        <v>216</v>
      </c>
      <c r="K26" s="19" t="s">
        <v>254</v>
      </c>
      <c r="L26" s="3"/>
      <c r="M26" s="3"/>
      <c r="N26" s="3"/>
      <c r="O26" s="3"/>
      <c r="P26" s="3"/>
      <c r="Q26" s="3"/>
    </row>
    <row r="27" spans="1:17" x14ac:dyDescent="0.2">
      <c r="A27" s="6">
        <v>26</v>
      </c>
      <c r="B27" s="6" t="s">
        <v>27</v>
      </c>
      <c r="C27" s="7" t="s">
        <v>7</v>
      </c>
      <c r="D27" s="7">
        <v>2016</v>
      </c>
      <c r="E27" s="7" t="s">
        <v>128</v>
      </c>
      <c r="F27" s="7" t="s">
        <v>127</v>
      </c>
      <c r="G27" s="7" t="s">
        <v>175</v>
      </c>
      <c r="H27" s="7" t="s">
        <v>94</v>
      </c>
      <c r="I27" s="3"/>
      <c r="J27" s="7" t="s">
        <v>255</v>
      </c>
      <c r="K27" s="7">
        <v>21</v>
      </c>
      <c r="L27" s="3"/>
      <c r="M27" s="3"/>
      <c r="N27" s="3"/>
      <c r="O27" s="3"/>
      <c r="P27" s="3"/>
      <c r="Q27" s="3"/>
    </row>
    <row r="28" spans="1:17" x14ac:dyDescent="0.2">
      <c r="A28" s="6">
        <v>27</v>
      </c>
      <c r="B28" s="6" t="s">
        <v>27</v>
      </c>
      <c r="C28" s="7" t="s">
        <v>7</v>
      </c>
      <c r="D28" s="7">
        <v>2008</v>
      </c>
      <c r="E28" s="7" t="s">
        <v>128</v>
      </c>
      <c r="F28" s="7" t="s">
        <v>127</v>
      </c>
      <c r="G28" s="7" t="s">
        <v>11</v>
      </c>
      <c r="H28" s="7" t="s">
        <v>94</v>
      </c>
      <c r="I28" s="3"/>
      <c r="J28" s="7" t="s">
        <v>228</v>
      </c>
      <c r="K28" s="7">
        <f>6</f>
        <v>6</v>
      </c>
      <c r="L28" s="3"/>
      <c r="M28" s="3"/>
      <c r="N28" s="3"/>
      <c r="O28" s="3"/>
      <c r="P28" s="3"/>
      <c r="Q28" s="3"/>
    </row>
    <row r="29" spans="1:17" x14ac:dyDescent="0.2">
      <c r="A29" s="6">
        <v>28</v>
      </c>
      <c r="B29" s="6" t="s">
        <v>27</v>
      </c>
      <c r="C29" s="7" t="s">
        <v>7</v>
      </c>
      <c r="D29" s="7">
        <v>2009</v>
      </c>
      <c r="E29" s="7" t="s">
        <v>128</v>
      </c>
      <c r="F29" s="7" t="s">
        <v>127</v>
      </c>
      <c r="G29" s="7" t="s">
        <v>176</v>
      </c>
      <c r="H29" s="7" t="s">
        <v>8</v>
      </c>
      <c r="I29" s="3"/>
      <c r="J29" s="7" t="s">
        <v>252</v>
      </c>
      <c r="K29" s="7">
        <f>COUNTIFS(G1:G113, "*tutors*")</f>
        <v>5</v>
      </c>
      <c r="L29" s="3"/>
      <c r="M29" s="3"/>
      <c r="N29" s="3"/>
      <c r="O29" s="3"/>
      <c r="P29" s="3"/>
      <c r="Q29" s="3"/>
    </row>
    <row r="30" spans="1:17" x14ac:dyDescent="0.2">
      <c r="A30" s="6">
        <v>29</v>
      </c>
      <c r="B30" s="6" t="s">
        <v>28</v>
      </c>
      <c r="C30" s="7" t="s">
        <v>49</v>
      </c>
      <c r="D30" s="7">
        <v>2016</v>
      </c>
      <c r="E30" s="7" t="s">
        <v>128</v>
      </c>
      <c r="F30" s="7" t="s">
        <v>127</v>
      </c>
      <c r="G30" s="7" t="s">
        <v>11</v>
      </c>
      <c r="H30" s="7" t="s">
        <v>104</v>
      </c>
      <c r="I30" s="3"/>
      <c r="J30" s="7" t="s">
        <v>229</v>
      </c>
      <c r="K30" s="7">
        <f>COUNTIFS(G1:G108, "*learning support*")</f>
        <v>5</v>
      </c>
      <c r="L30" s="3"/>
      <c r="M30" s="3"/>
      <c r="N30" s="3"/>
      <c r="O30" s="3"/>
      <c r="P30" s="3"/>
      <c r="Q30" s="3"/>
    </row>
    <row r="31" spans="1:17" x14ac:dyDescent="0.2">
      <c r="A31" s="6">
        <v>30</v>
      </c>
      <c r="B31" s="6" t="s">
        <v>28</v>
      </c>
      <c r="C31" s="7" t="s">
        <v>49</v>
      </c>
      <c r="D31" s="7">
        <v>2015</v>
      </c>
      <c r="E31" s="7" t="s">
        <v>128</v>
      </c>
      <c r="F31" s="7" t="s">
        <v>127</v>
      </c>
      <c r="G31" s="7" t="s">
        <v>177</v>
      </c>
      <c r="H31" s="7" t="s">
        <v>94</v>
      </c>
      <c r="I31" s="3"/>
      <c r="J31" s="7" t="s">
        <v>221</v>
      </c>
      <c r="K31" s="7">
        <f>COUNTIFS(G2:G120, "*statistics support*")-1</f>
        <v>3</v>
      </c>
      <c r="L31" s="3"/>
      <c r="M31" s="3"/>
      <c r="N31" s="3"/>
      <c r="O31" s="3"/>
      <c r="P31" s="3"/>
      <c r="Q31" s="3"/>
    </row>
    <row r="32" spans="1:17" x14ac:dyDescent="0.2">
      <c r="A32" s="6">
        <v>31</v>
      </c>
      <c r="B32" s="6" t="s">
        <v>28</v>
      </c>
      <c r="C32" s="7" t="s">
        <v>49</v>
      </c>
      <c r="D32" s="7">
        <v>2016</v>
      </c>
      <c r="E32" s="7" t="s">
        <v>127</v>
      </c>
      <c r="F32" s="7" t="s">
        <v>127</v>
      </c>
      <c r="G32" s="7" t="s">
        <v>178</v>
      </c>
      <c r="H32" s="7" t="s">
        <v>105</v>
      </c>
      <c r="I32" s="3"/>
      <c r="J32" s="7" t="s">
        <v>222</v>
      </c>
      <c r="K32" s="7">
        <f>COUNTIFS(G2:G120, "*higher education*")</f>
        <v>4</v>
      </c>
      <c r="L32" s="3"/>
      <c r="M32" s="3"/>
      <c r="N32" s="3"/>
      <c r="O32" s="3"/>
      <c r="P32" s="3"/>
      <c r="Q32" s="3"/>
    </row>
    <row r="33" spans="1:17" x14ac:dyDescent="0.2">
      <c r="A33" s="6">
        <v>32</v>
      </c>
      <c r="B33" s="6" t="s">
        <v>29</v>
      </c>
      <c r="C33" s="7" t="s">
        <v>49</v>
      </c>
      <c r="D33" s="7">
        <v>2015</v>
      </c>
      <c r="E33" s="7" t="s">
        <v>127</v>
      </c>
      <c r="F33" s="7" t="s">
        <v>127</v>
      </c>
      <c r="G33" s="7" t="s">
        <v>179</v>
      </c>
      <c r="H33" s="7" t="s">
        <v>106</v>
      </c>
      <c r="I33" s="3"/>
      <c r="J33" s="7" t="s">
        <v>224</v>
      </c>
      <c r="K33" s="7">
        <f>COUNTIFS(G1:G119, "*tutor training*")</f>
        <v>4</v>
      </c>
      <c r="L33" s="3"/>
      <c r="M33" s="3"/>
      <c r="N33" s="3"/>
      <c r="O33" s="3"/>
      <c r="P33" s="3"/>
      <c r="Q33" s="3"/>
    </row>
    <row r="34" spans="1:17" x14ac:dyDescent="0.2">
      <c r="A34" s="6">
        <v>33</v>
      </c>
      <c r="B34" s="6" t="s">
        <v>30</v>
      </c>
      <c r="C34" s="7" t="s">
        <v>7</v>
      </c>
      <c r="D34" s="7">
        <v>2018</v>
      </c>
      <c r="E34" s="7" t="s">
        <v>128</v>
      </c>
      <c r="F34" s="7" t="s">
        <v>127</v>
      </c>
      <c r="G34" s="7" t="s">
        <v>180</v>
      </c>
      <c r="H34" s="7" t="s">
        <v>107</v>
      </c>
      <c r="I34" s="3"/>
      <c r="J34" s="7" t="s">
        <v>249</v>
      </c>
      <c r="K34" s="7">
        <f>COUNTIFS(G1:G116, "*retention*")</f>
        <v>4</v>
      </c>
      <c r="L34" s="3"/>
      <c r="M34" s="3"/>
      <c r="N34" s="3"/>
      <c r="O34" s="3"/>
      <c r="P34" s="3"/>
      <c r="Q34" s="3"/>
    </row>
    <row r="35" spans="1:17" x14ac:dyDescent="0.2">
      <c r="A35" s="6">
        <v>34</v>
      </c>
      <c r="B35" s="6" t="s">
        <v>31</v>
      </c>
      <c r="C35" s="7" t="s">
        <v>7</v>
      </c>
      <c r="D35" s="7">
        <v>2017</v>
      </c>
      <c r="E35" s="7" t="s">
        <v>128</v>
      </c>
      <c r="F35" s="7" t="s">
        <v>128</v>
      </c>
      <c r="G35" s="7" t="s">
        <v>11</v>
      </c>
      <c r="H35" s="7" t="s">
        <v>31</v>
      </c>
      <c r="I35" s="3"/>
      <c r="J35" s="7" t="s">
        <v>242</v>
      </c>
      <c r="K35" s="7">
        <f>COUNTIFS(G1:G100, "*first year*") + COUNTIFS(G1:G100, "*first-year*")</f>
        <v>4</v>
      </c>
      <c r="L35" s="3"/>
      <c r="M35" s="3"/>
      <c r="N35" s="3"/>
      <c r="O35" s="3"/>
      <c r="P35" s="3"/>
      <c r="Q35" s="3"/>
    </row>
    <row r="36" spans="1:17" x14ac:dyDescent="0.2">
      <c r="A36" s="6">
        <v>35</v>
      </c>
      <c r="B36" s="6" t="s">
        <v>32</v>
      </c>
      <c r="C36" s="7" t="s">
        <v>136</v>
      </c>
      <c r="D36" s="7">
        <v>2018</v>
      </c>
      <c r="E36" s="7" t="s">
        <v>128</v>
      </c>
      <c r="F36" s="7" t="s">
        <v>127</v>
      </c>
      <c r="G36" s="7" t="s">
        <v>181</v>
      </c>
      <c r="H36" s="7" t="s">
        <v>97</v>
      </c>
      <c r="I36" s="3"/>
      <c r="J36" s="7" t="s">
        <v>250</v>
      </c>
      <c r="K36" s="7">
        <f>COUNTIFS(G1:G120, "*engagement*")</f>
        <v>4</v>
      </c>
      <c r="L36" s="3"/>
      <c r="M36" s="3"/>
      <c r="N36" s="3"/>
      <c r="O36" s="3"/>
      <c r="P36" s="3"/>
      <c r="Q36" s="3"/>
    </row>
    <row r="37" spans="1:17" x14ac:dyDescent="0.2">
      <c r="A37" s="6">
        <v>36</v>
      </c>
      <c r="B37" s="6" t="s">
        <v>33</v>
      </c>
      <c r="C37" s="7" t="s">
        <v>49</v>
      </c>
      <c r="D37" s="7">
        <v>2016</v>
      </c>
      <c r="E37" s="7" t="s">
        <v>128</v>
      </c>
      <c r="F37" s="7" t="s">
        <v>127</v>
      </c>
      <c r="G37" s="7" t="s">
        <v>182</v>
      </c>
      <c r="H37" s="7" t="s">
        <v>94</v>
      </c>
      <c r="I37" s="3"/>
      <c r="J37" s="7" t="s">
        <v>257</v>
      </c>
      <c r="K37" s="7">
        <f>COUNTIFS(G4:G122, "*support centre*")</f>
        <v>3</v>
      </c>
      <c r="L37" s="3"/>
      <c r="M37" s="3"/>
      <c r="N37" s="3"/>
      <c r="O37" s="3"/>
      <c r="P37" s="3"/>
      <c r="Q37" s="3"/>
    </row>
    <row r="38" spans="1:17" x14ac:dyDescent="0.2">
      <c r="A38" s="6">
        <v>37</v>
      </c>
      <c r="B38" s="6" t="s">
        <v>34</v>
      </c>
      <c r="C38" s="7" t="s">
        <v>7</v>
      </c>
      <c r="D38" s="7">
        <v>2013</v>
      </c>
      <c r="E38" s="7" t="s">
        <v>128</v>
      </c>
      <c r="F38" s="7" t="s">
        <v>127</v>
      </c>
      <c r="G38" s="7" t="s">
        <v>11</v>
      </c>
      <c r="H38" s="7" t="s">
        <v>103</v>
      </c>
      <c r="I38" s="3"/>
      <c r="J38" s="7" t="s">
        <v>245</v>
      </c>
      <c r="K38" s="7">
        <f>COUNTIFS(G3:G121, "*progression*")</f>
        <v>3</v>
      </c>
      <c r="L38" s="3"/>
      <c r="M38" s="3"/>
      <c r="N38" s="3"/>
      <c r="O38" s="3"/>
      <c r="P38" s="3"/>
      <c r="Q38" s="3"/>
    </row>
    <row r="39" spans="1:17" x14ac:dyDescent="0.2">
      <c r="A39" s="6">
        <v>38</v>
      </c>
      <c r="B39" s="6" t="s">
        <v>35</v>
      </c>
      <c r="C39" s="7" t="s">
        <v>7</v>
      </c>
      <c r="D39" s="7">
        <v>2005</v>
      </c>
      <c r="E39" s="7" t="s">
        <v>128</v>
      </c>
      <c r="F39" s="7" t="s">
        <v>127</v>
      </c>
      <c r="G39" s="7" t="s">
        <v>11</v>
      </c>
      <c r="H39" s="7" t="s">
        <v>94</v>
      </c>
      <c r="I39" s="3"/>
      <c r="J39" s="7" t="s">
        <v>226</v>
      </c>
      <c r="K39" s="7">
        <f>COUNTIFS(G2:G120, "*mathematics education*")</f>
        <v>3</v>
      </c>
      <c r="L39" s="3"/>
      <c r="M39" s="3"/>
      <c r="N39" s="3"/>
      <c r="O39" s="3"/>
      <c r="P39" s="3"/>
      <c r="Q39" s="3"/>
    </row>
    <row r="40" spans="1:17" x14ac:dyDescent="0.2">
      <c r="A40" s="6">
        <v>39</v>
      </c>
      <c r="B40" s="6" t="s">
        <v>36</v>
      </c>
      <c r="C40" s="7" t="s">
        <v>7</v>
      </c>
      <c r="D40" s="7">
        <v>2006</v>
      </c>
      <c r="E40" s="7" t="s">
        <v>128</v>
      </c>
      <c r="F40" s="7" t="s">
        <v>127</v>
      </c>
      <c r="G40" s="7" t="s">
        <v>11</v>
      </c>
      <c r="H40" s="7" t="s">
        <v>94</v>
      </c>
      <c r="I40" s="3"/>
      <c r="J40" s="7" t="s">
        <v>219</v>
      </c>
      <c r="K40" s="7">
        <v>2</v>
      </c>
      <c r="L40" s="3"/>
      <c r="M40" s="3"/>
      <c r="N40" s="3"/>
      <c r="O40" s="3"/>
      <c r="P40" s="3"/>
      <c r="Q40" s="3"/>
    </row>
    <row r="41" spans="1:17" x14ac:dyDescent="0.2">
      <c r="A41" s="6">
        <v>40</v>
      </c>
      <c r="B41" s="6" t="s">
        <v>37</v>
      </c>
      <c r="C41" s="7" t="s">
        <v>7</v>
      </c>
      <c r="D41" s="7">
        <v>2014</v>
      </c>
      <c r="E41" s="7" t="s">
        <v>128</v>
      </c>
      <c r="F41" s="7" t="s">
        <v>127</v>
      </c>
      <c r="G41" s="7" t="s">
        <v>11</v>
      </c>
      <c r="H41" s="7" t="s">
        <v>97</v>
      </c>
      <c r="I41" s="3"/>
      <c r="J41" s="7" t="s">
        <v>233</v>
      </c>
      <c r="K41" s="7">
        <f>COUNTIFS(G1:G116, "*mathematics learning*")-K47</f>
        <v>2</v>
      </c>
      <c r="L41" s="3"/>
      <c r="M41" s="3"/>
      <c r="N41" s="3"/>
      <c r="O41" s="3"/>
      <c r="P41" s="3"/>
      <c r="Q41" s="3"/>
    </row>
    <row r="42" spans="1:17" x14ac:dyDescent="0.2">
      <c r="A42" s="6">
        <v>41</v>
      </c>
      <c r="B42" s="6" t="s">
        <v>38</v>
      </c>
      <c r="C42" s="7" t="s">
        <v>49</v>
      </c>
      <c r="D42" s="7">
        <v>2010</v>
      </c>
      <c r="E42" s="7" t="s">
        <v>128</v>
      </c>
      <c r="F42" s="7" t="s">
        <v>127</v>
      </c>
      <c r="G42" s="7" t="s">
        <v>183</v>
      </c>
      <c r="H42" s="7" t="s">
        <v>8</v>
      </c>
      <c r="I42" s="3"/>
      <c r="J42" s="7" t="s">
        <v>235</v>
      </c>
      <c r="K42" s="7">
        <f>COUNTIFS(G1:G115, "*tertiary education*")</f>
        <v>2</v>
      </c>
      <c r="L42" s="3"/>
      <c r="M42" s="3"/>
      <c r="N42" s="3"/>
      <c r="O42" s="3"/>
      <c r="P42" s="3"/>
      <c r="Q42" s="3"/>
    </row>
    <row r="43" spans="1:17" x14ac:dyDescent="0.2">
      <c r="A43" s="6">
        <v>42</v>
      </c>
      <c r="B43" s="6" t="s">
        <v>39</v>
      </c>
      <c r="C43" s="7" t="s">
        <v>7</v>
      </c>
      <c r="D43" s="7">
        <v>2011</v>
      </c>
      <c r="E43" s="7" t="s">
        <v>128</v>
      </c>
      <c r="F43" s="7" t="s">
        <v>127</v>
      </c>
      <c r="G43" s="7" t="s">
        <v>11</v>
      </c>
      <c r="H43" s="7" t="s">
        <v>97</v>
      </c>
      <c r="I43" s="3"/>
      <c r="J43" s="7" t="s">
        <v>363</v>
      </c>
      <c r="K43" s="7">
        <f>COUNTIFS(G1:G134, "*community*")</f>
        <v>2</v>
      </c>
      <c r="L43" s="3"/>
      <c r="M43" s="3"/>
      <c r="N43" s="3"/>
      <c r="O43" s="3"/>
      <c r="P43" s="3"/>
      <c r="Q43" s="3"/>
    </row>
    <row r="44" spans="1:17" x14ac:dyDescent="0.2">
      <c r="A44" s="6">
        <v>43</v>
      </c>
      <c r="B44" s="6" t="s">
        <v>40</v>
      </c>
      <c r="C44" s="7" t="s">
        <v>7</v>
      </c>
      <c r="D44" s="7">
        <v>2004</v>
      </c>
      <c r="E44" s="7" t="s">
        <v>128</v>
      </c>
      <c r="F44" s="7" t="s">
        <v>127</v>
      </c>
      <c r="G44" s="7" t="s">
        <v>11</v>
      </c>
      <c r="H44" s="7" t="s">
        <v>94</v>
      </c>
      <c r="I44" s="3"/>
      <c r="J44" s="7" t="s">
        <v>220</v>
      </c>
      <c r="K44" s="7">
        <f>COUNTIFS(G2:G134, "*evaluation*")</f>
        <v>2</v>
      </c>
      <c r="L44" s="3"/>
      <c r="M44" s="3"/>
      <c r="N44" s="3"/>
      <c r="O44" s="3"/>
      <c r="P44" s="3"/>
      <c r="Q44" s="3"/>
    </row>
    <row r="45" spans="1:17" x14ac:dyDescent="0.2">
      <c r="A45" s="6">
        <v>44</v>
      </c>
      <c r="B45" s="6" t="s">
        <v>41</v>
      </c>
      <c r="C45" s="7" t="s">
        <v>7</v>
      </c>
      <c r="D45" s="7">
        <v>2011</v>
      </c>
      <c r="E45" s="7" t="s">
        <v>128</v>
      </c>
      <c r="F45" s="7" t="s">
        <v>128</v>
      </c>
      <c r="G45" s="7" t="s">
        <v>11</v>
      </c>
      <c r="H45" s="7" t="s">
        <v>31</v>
      </c>
      <c r="I45" s="3"/>
      <c r="J45" s="7" t="s">
        <v>247</v>
      </c>
      <c r="K45" s="7">
        <f>COUNTIFS(G2:G105, "*learning development*")</f>
        <v>1</v>
      </c>
      <c r="L45" s="3"/>
      <c r="M45" s="3"/>
      <c r="N45" s="3"/>
      <c r="O45" s="3"/>
      <c r="P45" s="3"/>
      <c r="Q45" s="3"/>
    </row>
    <row r="46" spans="1:17" x14ac:dyDescent="0.2">
      <c r="A46" s="6">
        <v>45</v>
      </c>
      <c r="B46" s="6" t="s">
        <v>42</v>
      </c>
      <c r="C46" s="7" t="s">
        <v>49</v>
      </c>
      <c r="D46" s="7">
        <v>2016</v>
      </c>
      <c r="E46" s="7" t="s">
        <v>128</v>
      </c>
      <c r="F46" s="7" t="s">
        <v>127</v>
      </c>
      <c r="G46" s="7" t="s">
        <v>184</v>
      </c>
      <c r="H46" s="7" t="s">
        <v>8</v>
      </c>
      <c r="I46" s="3"/>
      <c r="J46" s="7" t="s">
        <v>223</v>
      </c>
      <c r="K46" s="7">
        <f>COUNTIFS(G15:G133, "*academic performance*")</f>
        <v>1</v>
      </c>
      <c r="L46" s="3"/>
      <c r="M46" s="3"/>
      <c r="N46" s="3"/>
      <c r="O46" s="3"/>
      <c r="P46" s="3"/>
      <c r="Q46" s="3"/>
    </row>
    <row r="47" spans="1:17" x14ac:dyDescent="0.2">
      <c r="A47" s="6">
        <v>46</v>
      </c>
      <c r="B47" s="6" t="s">
        <v>43</v>
      </c>
      <c r="C47" s="7" t="s">
        <v>7</v>
      </c>
      <c r="D47" s="7">
        <v>2018</v>
      </c>
      <c r="E47" s="7" t="s">
        <v>128</v>
      </c>
      <c r="F47" s="7" t="s">
        <v>127</v>
      </c>
      <c r="G47" s="7" t="s">
        <v>185</v>
      </c>
      <c r="H47" s="7" t="s">
        <v>94</v>
      </c>
      <c r="I47" s="3"/>
      <c r="J47" s="7" t="s">
        <v>227</v>
      </c>
      <c r="K47" s="7">
        <f>COUNTIFS(G9:G127, "*learning technology*")</f>
        <v>1</v>
      </c>
      <c r="L47" s="3"/>
      <c r="M47" s="3"/>
      <c r="N47" s="3"/>
      <c r="O47" s="3"/>
      <c r="P47" s="3"/>
      <c r="Q47" s="3"/>
    </row>
    <row r="48" spans="1:17" x14ac:dyDescent="0.2">
      <c r="A48" s="6">
        <v>47</v>
      </c>
      <c r="B48" s="6" t="s">
        <v>43</v>
      </c>
      <c r="C48" s="7" t="s">
        <v>7</v>
      </c>
      <c r="D48" s="7">
        <v>2019</v>
      </c>
      <c r="E48" s="7" t="s">
        <v>128</v>
      </c>
      <c r="F48" s="7" t="s">
        <v>127</v>
      </c>
      <c r="G48" s="7" t="s">
        <v>186</v>
      </c>
      <c r="H48" s="7" t="s">
        <v>108</v>
      </c>
      <c r="I48" s="3"/>
      <c r="J48" s="7" t="s">
        <v>231</v>
      </c>
      <c r="K48" s="7">
        <f>COUNTIFS(G7:G125, "*maths advice*")</f>
        <v>1</v>
      </c>
      <c r="L48" s="3"/>
      <c r="M48" s="3"/>
      <c r="N48" s="3"/>
      <c r="O48" s="3"/>
      <c r="P48" s="3"/>
      <c r="Q48" s="3"/>
    </row>
    <row r="49" spans="1:17" x14ac:dyDescent="0.2">
      <c r="A49" s="6">
        <v>48</v>
      </c>
      <c r="B49" s="6" t="s">
        <v>43</v>
      </c>
      <c r="C49" s="7" t="s">
        <v>7</v>
      </c>
      <c r="D49" s="7">
        <v>2019</v>
      </c>
      <c r="E49" s="7" t="s">
        <v>128</v>
      </c>
      <c r="F49" s="7" t="s">
        <v>127</v>
      </c>
      <c r="G49" s="7" t="s">
        <v>11</v>
      </c>
      <c r="H49" s="7" t="s">
        <v>97</v>
      </c>
      <c r="I49" s="3"/>
      <c r="J49" s="7" t="s">
        <v>232</v>
      </c>
      <c r="K49" s="7">
        <f>COUNTIFS(G7:G125, "*academic skills*")</f>
        <v>1</v>
      </c>
      <c r="L49" s="3"/>
      <c r="M49" s="3"/>
      <c r="N49" s="3"/>
      <c r="O49" s="3"/>
      <c r="P49" s="3"/>
      <c r="Q49" s="3"/>
    </row>
    <row r="50" spans="1:17" x14ac:dyDescent="0.2">
      <c r="A50" s="6">
        <v>49</v>
      </c>
      <c r="B50" s="6" t="s">
        <v>43</v>
      </c>
      <c r="C50" s="7" t="s">
        <v>7</v>
      </c>
      <c r="D50" s="7">
        <v>2018</v>
      </c>
      <c r="E50" s="7" t="s">
        <v>128</v>
      </c>
      <c r="F50" s="7" t="s">
        <v>127</v>
      </c>
      <c r="G50" s="7" t="s">
        <v>11</v>
      </c>
      <c r="H50" s="7" t="s">
        <v>97</v>
      </c>
      <c r="I50" s="3"/>
      <c r="J50" s="7" t="s">
        <v>234</v>
      </c>
      <c r="K50" s="7">
        <f>COUNTIFS(G6:G124, "*statistics learning*")</f>
        <v>1</v>
      </c>
      <c r="L50" s="3"/>
      <c r="M50" s="3"/>
      <c r="N50" s="3"/>
      <c r="O50" s="3"/>
      <c r="P50" s="3"/>
      <c r="Q50" s="3"/>
    </row>
    <row r="51" spans="1:17" x14ac:dyDescent="0.2">
      <c r="A51" s="6">
        <v>50</v>
      </c>
      <c r="B51" s="6" t="s">
        <v>43</v>
      </c>
      <c r="C51" s="7" t="s">
        <v>7</v>
      </c>
      <c r="D51" s="7">
        <v>2019</v>
      </c>
      <c r="E51" s="7" t="s">
        <v>128</v>
      </c>
      <c r="F51" s="7" t="s">
        <v>127</v>
      </c>
      <c r="G51" s="7" t="s">
        <v>11</v>
      </c>
      <c r="H51" s="7" t="s">
        <v>97</v>
      </c>
      <c r="I51" s="3"/>
      <c r="J51" s="7" t="s">
        <v>236</v>
      </c>
      <c r="K51" s="7">
        <f>COUNTIFS(G5:G123, "*mssc*")</f>
        <v>1</v>
      </c>
      <c r="L51" s="3"/>
      <c r="M51" s="3"/>
      <c r="N51" s="3"/>
      <c r="O51" s="3"/>
      <c r="P51" s="3"/>
      <c r="Q51" s="3"/>
    </row>
    <row r="52" spans="1:17" x14ac:dyDescent="0.2">
      <c r="A52" s="6">
        <v>51</v>
      </c>
      <c r="B52" s="6" t="s">
        <v>43</v>
      </c>
      <c r="C52" s="7" t="s">
        <v>7</v>
      </c>
      <c r="D52" s="7">
        <v>2019</v>
      </c>
      <c r="E52" s="7" t="s">
        <v>128</v>
      </c>
      <c r="F52" s="7" t="s">
        <v>127</v>
      </c>
      <c r="G52" s="7" t="s">
        <v>187</v>
      </c>
      <c r="H52" s="7" t="s">
        <v>8</v>
      </c>
      <c r="I52" s="3"/>
      <c r="J52" s="7" t="s">
        <v>237</v>
      </c>
      <c r="K52" s="7">
        <f>COUNTIFS(G5:G123, "*(alc)*")</f>
        <v>1</v>
      </c>
      <c r="L52" s="3"/>
      <c r="M52" s="3"/>
      <c r="N52" s="3"/>
      <c r="O52" s="3"/>
      <c r="P52" s="3"/>
      <c r="Q52" s="3"/>
    </row>
    <row r="53" spans="1:17" x14ac:dyDescent="0.2">
      <c r="A53" s="6">
        <v>52</v>
      </c>
      <c r="B53" s="6" t="s">
        <v>44</v>
      </c>
      <c r="C53" s="7" t="s">
        <v>7</v>
      </c>
      <c r="D53" s="7">
        <v>2000</v>
      </c>
      <c r="E53" s="7" t="s">
        <v>128</v>
      </c>
      <c r="F53" s="7" t="s">
        <v>127</v>
      </c>
      <c r="G53" s="7" t="s">
        <v>11</v>
      </c>
      <c r="H53" s="7" t="s">
        <v>109</v>
      </c>
      <c r="I53" s="3"/>
      <c r="J53" s="7" t="s">
        <v>238</v>
      </c>
      <c r="K53" s="7">
        <f>COUNTIFS(G5:G123, "*mathematics problem*")</f>
        <v>1</v>
      </c>
      <c r="L53" s="3"/>
      <c r="M53" s="3"/>
      <c r="N53" s="3"/>
      <c r="O53" s="3"/>
      <c r="P53" s="3"/>
      <c r="Q53" s="3"/>
    </row>
    <row r="54" spans="1:17" x14ac:dyDescent="0.2">
      <c r="A54" s="6">
        <v>53</v>
      </c>
      <c r="B54" s="6" t="s">
        <v>45</v>
      </c>
      <c r="C54" s="7" t="s">
        <v>136</v>
      </c>
      <c r="D54" s="7">
        <v>2013</v>
      </c>
      <c r="E54" s="7" t="s">
        <v>128</v>
      </c>
      <c r="F54" s="7" t="s">
        <v>127</v>
      </c>
      <c r="G54" s="7" t="s">
        <v>188</v>
      </c>
      <c r="H54" s="7" t="s">
        <v>8</v>
      </c>
      <c r="I54" s="3"/>
      <c r="J54" s="7" t="s">
        <v>239</v>
      </c>
      <c r="K54" s="7">
        <f>COUNTIFS(G5:G123, "*mathematics learning centre*")</f>
        <v>1</v>
      </c>
      <c r="L54" s="3"/>
      <c r="M54" s="3"/>
      <c r="N54" s="3"/>
      <c r="O54" s="3"/>
      <c r="P54" s="3"/>
      <c r="Q54" s="3"/>
    </row>
    <row r="55" spans="1:17" x14ac:dyDescent="0.2">
      <c r="A55" s="6">
        <v>54</v>
      </c>
      <c r="B55" s="6" t="s">
        <v>46</v>
      </c>
      <c r="C55" s="7" t="s">
        <v>7</v>
      </c>
      <c r="D55" s="7">
        <v>2010</v>
      </c>
      <c r="E55" s="7" t="s">
        <v>128</v>
      </c>
      <c r="F55" s="7" t="s">
        <v>128</v>
      </c>
      <c r="G55" s="7" t="s">
        <v>11</v>
      </c>
      <c r="H55" s="7" t="s">
        <v>110</v>
      </c>
      <c r="I55" s="3"/>
      <c r="J55" s="7" t="s">
        <v>113</v>
      </c>
      <c r="K55" s="7">
        <f>COUNTIFS(G5:G123, "*maths, stats &amp; OR network*")</f>
        <v>1</v>
      </c>
      <c r="L55" s="3"/>
      <c r="M55" s="3"/>
      <c r="N55" s="3"/>
      <c r="O55" s="3"/>
      <c r="P55" s="3"/>
      <c r="Q55" s="3"/>
    </row>
    <row r="56" spans="1:17" x14ac:dyDescent="0.2">
      <c r="A56" s="6">
        <v>55</v>
      </c>
      <c r="B56" s="6" t="s">
        <v>47</v>
      </c>
      <c r="C56" s="7" t="s">
        <v>7</v>
      </c>
      <c r="D56" s="7">
        <v>2012</v>
      </c>
      <c r="E56" s="7" t="s">
        <v>128</v>
      </c>
      <c r="F56" s="7" t="s">
        <v>128</v>
      </c>
      <c r="G56" s="7" t="s">
        <v>11</v>
      </c>
      <c r="H56" s="7" t="s">
        <v>99</v>
      </c>
      <c r="I56" s="3"/>
      <c r="J56" s="7" t="s">
        <v>240</v>
      </c>
      <c r="K56" s="7">
        <f>COUNTIFS(G5:G123, "*peer support*")</f>
        <v>1</v>
      </c>
      <c r="L56" s="3"/>
      <c r="M56" s="3"/>
      <c r="N56" s="3"/>
      <c r="O56" s="3"/>
      <c r="P56" s="3"/>
      <c r="Q56" s="3"/>
    </row>
    <row r="57" spans="1:17" x14ac:dyDescent="0.2">
      <c r="A57" s="6">
        <v>56</v>
      </c>
      <c r="B57" s="6" t="s">
        <v>48</v>
      </c>
      <c r="C57" s="7" t="s">
        <v>7</v>
      </c>
      <c r="D57" s="7">
        <v>1994</v>
      </c>
      <c r="E57" s="7" t="s">
        <v>128</v>
      </c>
      <c r="F57" s="7" t="s">
        <v>128</v>
      </c>
      <c r="G57" s="7" t="s">
        <v>11</v>
      </c>
      <c r="H57" s="7" t="s">
        <v>111</v>
      </c>
      <c r="I57" s="3"/>
      <c r="J57" s="7" t="s">
        <v>241</v>
      </c>
      <c r="K57" s="7">
        <f>COUNTIFS(G5:G123, "*support programme*")</f>
        <v>1</v>
      </c>
      <c r="L57" s="3"/>
      <c r="M57" s="3"/>
      <c r="N57" s="3"/>
      <c r="O57" s="3"/>
      <c r="P57" s="3"/>
      <c r="Q57" s="3"/>
    </row>
    <row r="58" spans="1:17" x14ac:dyDescent="0.2">
      <c r="A58" s="6">
        <v>57</v>
      </c>
      <c r="B58" s="6" t="s">
        <v>49</v>
      </c>
      <c r="C58" s="7" t="s">
        <v>7</v>
      </c>
      <c r="D58" s="7">
        <v>2006</v>
      </c>
      <c r="E58" s="7" t="s">
        <v>128</v>
      </c>
      <c r="F58" s="7" t="s">
        <v>127</v>
      </c>
      <c r="G58" s="7" t="s">
        <v>11</v>
      </c>
      <c r="H58" s="7" t="s">
        <v>94</v>
      </c>
      <c r="I58" s="3"/>
      <c r="J58" s="7" t="s">
        <v>243</v>
      </c>
      <c r="K58" s="7">
        <f>COUNTIFS(G4:G122, "*mathematical skills*")</f>
        <v>1</v>
      </c>
      <c r="L58" s="3"/>
      <c r="M58" s="3"/>
      <c r="N58" s="3"/>
      <c r="O58" s="3"/>
      <c r="P58" s="3"/>
      <c r="Q58" s="3"/>
    </row>
    <row r="59" spans="1:17" x14ac:dyDescent="0.2">
      <c r="A59" s="6">
        <v>58</v>
      </c>
      <c r="B59" s="6" t="s">
        <v>50</v>
      </c>
      <c r="C59" s="7" t="s">
        <v>136</v>
      </c>
      <c r="D59" s="7">
        <v>2013</v>
      </c>
      <c r="E59" s="7" t="s">
        <v>128</v>
      </c>
      <c r="F59" s="7" t="s">
        <v>127</v>
      </c>
      <c r="G59" s="7" t="s">
        <v>189</v>
      </c>
      <c r="H59" s="7" t="s">
        <v>8</v>
      </c>
      <c r="I59" s="3"/>
      <c r="J59" s="7" t="s">
        <v>244</v>
      </c>
      <c r="K59" s="7">
        <f>COUNTIFS(G4:G122, "*statistics*")-K33</f>
        <v>1</v>
      </c>
      <c r="L59" s="3"/>
      <c r="M59" s="3"/>
      <c r="N59" s="3"/>
      <c r="O59" s="3"/>
      <c r="P59" s="3"/>
      <c r="Q59" s="3"/>
    </row>
    <row r="60" spans="1:17" x14ac:dyDescent="0.2">
      <c r="A60" s="6">
        <v>59</v>
      </c>
      <c r="B60" s="6" t="s">
        <v>50</v>
      </c>
      <c r="C60" s="7" t="s">
        <v>136</v>
      </c>
      <c r="D60" s="7">
        <v>2014</v>
      </c>
      <c r="E60" s="7" t="s">
        <v>128</v>
      </c>
      <c r="F60" s="7" t="s">
        <v>127</v>
      </c>
      <c r="G60" s="7" t="s">
        <v>190</v>
      </c>
      <c r="H60" s="7" t="s">
        <v>112</v>
      </c>
      <c r="I60" s="3"/>
      <c r="J60" s="7" t="s">
        <v>246</v>
      </c>
      <c r="K60" s="7">
        <f>COUNTIFS(G4:G122, "*centre for excellence*")</f>
        <v>1</v>
      </c>
      <c r="L60" s="3"/>
      <c r="M60" s="3"/>
      <c r="N60" s="3"/>
      <c r="O60" s="3"/>
      <c r="P60" s="3"/>
      <c r="Q60" s="3"/>
    </row>
    <row r="61" spans="1:17" x14ac:dyDescent="0.2">
      <c r="A61" s="6">
        <v>60</v>
      </c>
      <c r="B61" s="6" t="s">
        <v>51</v>
      </c>
      <c r="C61" s="7" t="s">
        <v>49</v>
      </c>
      <c r="D61" s="7">
        <v>2018</v>
      </c>
      <c r="E61" s="7" t="s">
        <v>128</v>
      </c>
      <c r="F61" s="7" t="s">
        <v>127</v>
      </c>
      <c r="G61" s="7" t="s">
        <v>11</v>
      </c>
      <c r="H61" s="7" t="s">
        <v>97</v>
      </c>
      <c r="I61" s="3"/>
      <c r="J61" s="7" t="s">
        <v>248</v>
      </c>
      <c r="K61" s="7">
        <f>COUNTIFS(G2:G120, "*embedded classes*")</f>
        <v>1</v>
      </c>
      <c r="L61" s="3"/>
      <c r="M61" s="3"/>
      <c r="N61" s="3"/>
      <c r="O61" s="3"/>
      <c r="P61" s="3"/>
      <c r="Q61" s="3"/>
    </row>
    <row r="62" spans="1:17" x14ac:dyDescent="0.2">
      <c r="A62" s="6">
        <v>61</v>
      </c>
      <c r="B62" s="6" t="s">
        <v>52</v>
      </c>
      <c r="C62" s="7" t="s">
        <v>7</v>
      </c>
      <c r="D62" s="7">
        <v>1996</v>
      </c>
      <c r="E62" s="7" t="s">
        <v>128</v>
      </c>
      <c r="F62" s="7" t="s">
        <v>127</v>
      </c>
      <c r="G62" s="7" t="s">
        <v>11</v>
      </c>
      <c r="H62" s="7" t="s">
        <v>98</v>
      </c>
      <c r="I62" s="3"/>
      <c r="J62" s="7" t="s">
        <v>251</v>
      </c>
      <c r="K62" s="7">
        <f>COUNTIFS(G2:G120, "*undergraduate*")</f>
        <v>1</v>
      </c>
      <c r="L62" s="3"/>
      <c r="M62" s="3"/>
      <c r="N62" s="3"/>
      <c r="O62" s="3"/>
      <c r="P62" s="3"/>
      <c r="Q62" s="3"/>
    </row>
    <row r="63" spans="1:17" x14ac:dyDescent="0.2">
      <c r="A63" s="6">
        <v>62</v>
      </c>
      <c r="B63" s="6" t="s">
        <v>53</v>
      </c>
      <c r="C63" s="7" t="s">
        <v>7</v>
      </c>
      <c r="D63" s="7">
        <v>2010</v>
      </c>
      <c r="E63" s="7" t="s">
        <v>128</v>
      </c>
      <c r="F63" s="7" t="s">
        <v>127</v>
      </c>
      <c r="G63" s="7" t="s">
        <v>11</v>
      </c>
      <c r="H63" s="7" t="s">
        <v>113</v>
      </c>
      <c r="I63" s="3"/>
      <c r="J63" s="7" t="s">
        <v>253</v>
      </c>
      <c r="K63" s="7">
        <f>COUNTIFS(G2:G120, "*video analysis*")</f>
        <v>1</v>
      </c>
      <c r="L63" s="3"/>
      <c r="M63" s="3"/>
      <c r="N63" s="3"/>
      <c r="O63" s="3"/>
      <c r="P63" s="3"/>
      <c r="Q63" s="3"/>
    </row>
    <row r="64" spans="1:17" x14ac:dyDescent="0.2">
      <c r="A64" s="6">
        <v>63</v>
      </c>
      <c r="B64" s="6" t="s">
        <v>6</v>
      </c>
      <c r="C64" s="7" t="s">
        <v>7</v>
      </c>
      <c r="D64" s="7">
        <v>2000</v>
      </c>
      <c r="E64" s="7" t="s">
        <v>128</v>
      </c>
      <c r="F64" s="7" t="s">
        <v>127</v>
      </c>
      <c r="G64" s="7" t="s">
        <v>11</v>
      </c>
      <c r="H64" s="7" t="s">
        <v>109</v>
      </c>
      <c r="I64" s="3"/>
      <c r="J64" s="7" t="s">
        <v>256</v>
      </c>
      <c r="K64" s="7">
        <f>COUNTIFS(G2:G120, "*diagnostic testing*")</f>
        <v>1</v>
      </c>
      <c r="L64" s="3"/>
      <c r="M64" s="3"/>
      <c r="N64" s="3"/>
      <c r="O64" s="3"/>
      <c r="P64" s="3"/>
      <c r="Q64" s="3"/>
    </row>
    <row r="65" spans="1:17" x14ac:dyDescent="0.2">
      <c r="A65" s="6">
        <v>64</v>
      </c>
      <c r="B65" s="6" t="s">
        <v>6</v>
      </c>
      <c r="C65" s="7" t="s">
        <v>7</v>
      </c>
      <c r="D65" s="7">
        <v>2003</v>
      </c>
      <c r="E65" s="7" t="s">
        <v>128</v>
      </c>
      <c r="F65" s="7" t="s">
        <v>127</v>
      </c>
      <c r="G65" s="7" t="s">
        <v>11</v>
      </c>
      <c r="H65" s="7" t="s">
        <v>97</v>
      </c>
      <c r="I65" s="3"/>
      <c r="J65" s="7" t="s">
        <v>218</v>
      </c>
      <c r="K65" s="7">
        <f>COUNTIFS(G1:G157, "*literature review*")</f>
        <v>1</v>
      </c>
      <c r="L65" s="3"/>
      <c r="M65" s="3"/>
      <c r="N65" s="3"/>
      <c r="O65" s="3"/>
      <c r="P65" s="3"/>
      <c r="Q65" s="3"/>
    </row>
    <row r="66" spans="1:17" x14ac:dyDescent="0.2">
      <c r="A66" s="6">
        <v>65</v>
      </c>
      <c r="B66" s="6" t="s">
        <v>6</v>
      </c>
      <c r="C66" s="7" t="s">
        <v>7</v>
      </c>
      <c r="D66" s="7">
        <v>2015</v>
      </c>
      <c r="E66" s="7" t="s">
        <v>128</v>
      </c>
      <c r="F66" s="8" t="s">
        <v>127</v>
      </c>
      <c r="G66" s="8" t="s">
        <v>11</v>
      </c>
      <c r="H66" s="7" t="s">
        <v>101</v>
      </c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2">
      <c r="A67" s="6">
        <v>66</v>
      </c>
      <c r="B67" s="6" t="s">
        <v>6</v>
      </c>
      <c r="C67" s="7" t="s">
        <v>7</v>
      </c>
      <c r="D67" s="7">
        <v>2003</v>
      </c>
      <c r="E67" s="7" t="s">
        <v>128</v>
      </c>
      <c r="F67" s="7" t="s">
        <v>127</v>
      </c>
      <c r="G67" s="7" t="s">
        <v>11</v>
      </c>
      <c r="H67" s="7" t="s">
        <v>113</v>
      </c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2">
      <c r="A68" s="6">
        <v>67</v>
      </c>
      <c r="B68" s="6" t="s">
        <v>6</v>
      </c>
      <c r="C68" s="7" t="s">
        <v>7</v>
      </c>
      <c r="D68" s="7">
        <v>2015</v>
      </c>
      <c r="E68" s="7" t="s">
        <v>128</v>
      </c>
      <c r="F68" s="7" t="s">
        <v>127</v>
      </c>
      <c r="G68" s="7" t="s">
        <v>191</v>
      </c>
      <c r="H68" s="7" t="s">
        <v>94</v>
      </c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2">
      <c r="A69" s="6">
        <v>68</v>
      </c>
      <c r="B69" s="6" t="s">
        <v>6</v>
      </c>
      <c r="C69" s="7" t="s">
        <v>7</v>
      </c>
      <c r="D69" s="7">
        <v>2001</v>
      </c>
      <c r="E69" s="7" t="s">
        <v>128</v>
      </c>
      <c r="F69" s="7" t="s">
        <v>127</v>
      </c>
      <c r="G69" s="7" t="s">
        <v>11</v>
      </c>
      <c r="H69" s="7" t="s">
        <v>94</v>
      </c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2">
      <c r="A70" s="6">
        <v>69</v>
      </c>
      <c r="B70" s="6" t="s">
        <v>393</v>
      </c>
      <c r="C70" s="7" t="s">
        <v>130</v>
      </c>
      <c r="D70" s="7">
        <v>2017</v>
      </c>
      <c r="E70" s="7" t="s">
        <v>128</v>
      </c>
      <c r="F70" s="7" t="s">
        <v>127</v>
      </c>
      <c r="G70" s="7" t="s">
        <v>192</v>
      </c>
      <c r="H70" s="7" t="s">
        <v>114</v>
      </c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2">
      <c r="A71" s="6">
        <v>70</v>
      </c>
      <c r="B71" s="6" t="s">
        <v>54</v>
      </c>
      <c r="C71" s="7" t="s">
        <v>7</v>
      </c>
      <c r="D71" s="7">
        <v>2015</v>
      </c>
      <c r="E71" s="7" t="s">
        <v>128</v>
      </c>
      <c r="F71" s="7" t="s">
        <v>127</v>
      </c>
      <c r="G71" s="7" t="s">
        <v>193</v>
      </c>
      <c r="H71" s="7" t="s">
        <v>94</v>
      </c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2">
      <c r="A72" s="6">
        <v>71</v>
      </c>
      <c r="B72" s="6" t="s">
        <v>55</v>
      </c>
      <c r="C72" s="7" t="s">
        <v>7</v>
      </c>
      <c r="D72" s="7">
        <v>2018</v>
      </c>
      <c r="E72" s="7" t="s">
        <v>128</v>
      </c>
      <c r="F72" s="7" t="s">
        <v>127</v>
      </c>
      <c r="G72" s="7" t="s">
        <v>194</v>
      </c>
      <c r="H72" s="7" t="s">
        <v>94</v>
      </c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2">
      <c r="A73" s="6">
        <v>72</v>
      </c>
      <c r="B73" s="6" t="s">
        <v>56</v>
      </c>
      <c r="C73" s="7" t="s">
        <v>7</v>
      </c>
      <c r="D73" s="7">
        <v>1995</v>
      </c>
      <c r="E73" s="7" t="s">
        <v>128</v>
      </c>
      <c r="F73" s="7" t="s">
        <v>128</v>
      </c>
      <c r="G73" s="7" t="s">
        <v>11</v>
      </c>
      <c r="H73" s="7" t="s">
        <v>115</v>
      </c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2">
      <c r="A74" s="6">
        <v>73</v>
      </c>
      <c r="B74" s="6" t="s">
        <v>57</v>
      </c>
      <c r="C74" s="7" t="s">
        <v>49</v>
      </c>
      <c r="D74" s="7">
        <v>2013</v>
      </c>
      <c r="E74" s="7" t="s">
        <v>128</v>
      </c>
      <c r="F74" s="7" t="s">
        <v>127</v>
      </c>
      <c r="G74" s="7" t="s">
        <v>11</v>
      </c>
      <c r="H74" s="7" t="s">
        <v>97</v>
      </c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2">
      <c r="A75" s="6">
        <v>74</v>
      </c>
      <c r="B75" s="6" t="s">
        <v>57</v>
      </c>
      <c r="C75" s="7" t="s">
        <v>49</v>
      </c>
      <c r="D75" s="7">
        <v>2009</v>
      </c>
      <c r="E75" s="7" t="s">
        <v>128</v>
      </c>
      <c r="F75" s="7" t="s">
        <v>127</v>
      </c>
      <c r="G75" s="7" t="s">
        <v>11</v>
      </c>
      <c r="H75" s="7" t="s">
        <v>97</v>
      </c>
      <c r="I75" s="3"/>
      <c r="J75" s="3"/>
    </row>
    <row r="76" spans="1:17" x14ac:dyDescent="0.2">
      <c r="A76" s="6">
        <v>75</v>
      </c>
      <c r="B76" s="2" t="s">
        <v>58</v>
      </c>
      <c r="C76" s="7" t="s">
        <v>136</v>
      </c>
      <c r="D76" s="7">
        <v>2009</v>
      </c>
      <c r="E76" s="7" t="s">
        <v>128</v>
      </c>
      <c r="F76" s="7" t="s">
        <v>127</v>
      </c>
      <c r="G76" s="7" t="s">
        <v>11</v>
      </c>
      <c r="H76" s="7" t="s">
        <v>116</v>
      </c>
      <c r="I76" s="3"/>
      <c r="J76" s="3"/>
    </row>
    <row r="77" spans="1:17" x14ac:dyDescent="0.2">
      <c r="A77" s="6">
        <v>76</v>
      </c>
      <c r="B77" s="6" t="s">
        <v>58</v>
      </c>
      <c r="C77" s="7" t="s">
        <v>136</v>
      </c>
      <c r="D77" s="7">
        <v>2009</v>
      </c>
      <c r="E77" s="7" t="s">
        <v>128</v>
      </c>
      <c r="F77" s="7" t="s">
        <v>127</v>
      </c>
      <c r="G77" s="7" t="s">
        <v>195</v>
      </c>
      <c r="H77" s="7" t="s">
        <v>8</v>
      </c>
      <c r="I77" s="3"/>
      <c r="J77" s="3"/>
    </row>
    <row r="78" spans="1:17" x14ac:dyDescent="0.2">
      <c r="A78" s="6">
        <v>77</v>
      </c>
      <c r="B78" s="6" t="s">
        <v>58</v>
      </c>
      <c r="C78" s="7" t="s">
        <v>136</v>
      </c>
      <c r="D78" s="7">
        <v>2011</v>
      </c>
      <c r="E78" s="7" t="s">
        <v>127</v>
      </c>
      <c r="F78" s="7" t="s">
        <v>127</v>
      </c>
      <c r="G78" s="7" t="s">
        <v>196</v>
      </c>
      <c r="H78" s="7" t="s">
        <v>8</v>
      </c>
      <c r="I78" s="3"/>
      <c r="J78" s="3"/>
    </row>
    <row r="79" spans="1:17" x14ac:dyDescent="0.2">
      <c r="A79" s="6">
        <v>78</v>
      </c>
      <c r="B79" s="6" t="s">
        <v>59</v>
      </c>
      <c r="C79" s="7" t="s">
        <v>7</v>
      </c>
      <c r="D79" s="7">
        <v>2013</v>
      </c>
      <c r="E79" s="7" t="s">
        <v>128</v>
      </c>
      <c r="F79" s="7" t="s">
        <v>127</v>
      </c>
      <c r="G79" s="7" t="s">
        <v>11</v>
      </c>
      <c r="H79" s="7" t="s">
        <v>97</v>
      </c>
      <c r="I79" s="3"/>
      <c r="J79" s="3"/>
    </row>
    <row r="80" spans="1:17" x14ac:dyDescent="0.2">
      <c r="A80" s="6">
        <v>79</v>
      </c>
      <c r="B80" s="6" t="s">
        <v>59</v>
      </c>
      <c r="C80" s="7" t="s">
        <v>136</v>
      </c>
      <c r="D80" s="7">
        <v>2012</v>
      </c>
      <c r="E80" s="7" t="s">
        <v>128</v>
      </c>
      <c r="F80" s="7" t="s">
        <v>127</v>
      </c>
      <c r="G80" s="7" t="s">
        <v>11</v>
      </c>
      <c r="H80" s="7" t="s">
        <v>117</v>
      </c>
      <c r="I80" s="3"/>
      <c r="J80" s="3"/>
    </row>
    <row r="81" spans="1:10" x14ac:dyDescent="0.2">
      <c r="A81" s="6">
        <v>80</v>
      </c>
      <c r="B81" s="6" t="s">
        <v>60</v>
      </c>
      <c r="C81" s="7" t="s">
        <v>7</v>
      </c>
      <c r="D81" s="7">
        <v>2017</v>
      </c>
      <c r="E81" s="7" t="s">
        <v>128</v>
      </c>
      <c r="F81" s="7" t="s">
        <v>127</v>
      </c>
      <c r="G81" s="7" t="s">
        <v>197</v>
      </c>
      <c r="H81" s="7" t="s">
        <v>94</v>
      </c>
      <c r="I81" s="3"/>
      <c r="J81" s="3"/>
    </row>
    <row r="82" spans="1:10" x14ac:dyDescent="0.2">
      <c r="A82" s="6">
        <v>81</v>
      </c>
      <c r="B82" s="6" t="s">
        <v>61</v>
      </c>
      <c r="C82" s="7" t="s">
        <v>7</v>
      </c>
      <c r="D82" s="7">
        <v>1995</v>
      </c>
      <c r="E82" s="7" t="s">
        <v>128</v>
      </c>
      <c r="F82" s="7" t="s">
        <v>127</v>
      </c>
      <c r="G82" s="7" t="s">
        <v>11</v>
      </c>
      <c r="H82" s="7" t="s">
        <v>98</v>
      </c>
      <c r="I82" s="3"/>
      <c r="J82" s="3"/>
    </row>
    <row r="83" spans="1:10" x14ac:dyDescent="0.2">
      <c r="A83" s="6">
        <v>82</v>
      </c>
      <c r="B83" s="6" t="s">
        <v>62</v>
      </c>
      <c r="C83" s="7" t="s">
        <v>7</v>
      </c>
      <c r="D83" s="7">
        <v>2011</v>
      </c>
      <c r="E83" s="7" t="s">
        <v>128</v>
      </c>
      <c r="F83" s="7" t="s">
        <v>127</v>
      </c>
      <c r="G83" s="7" t="s">
        <v>11</v>
      </c>
      <c r="H83" s="7" t="s">
        <v>118</v>
      </c>
      <c r="I83" s="3"/>
      <c r="J83" s="3"/>
    </row>
    <row r="84" spans="1:10" x14ac:dyDescent="0.2">
      <c r="A84" s="6">
        <v>83</v>
      </c>
      <c r="B84" s="6" t="s">
        <v>63</v>
      </c>
      <c r="C84" s="7" t="s">
        <v>49</v>
      </c>
      <c r="D84" s="7">
        <v>2018</v>
      </c>
      <c r="E84" s="7" t="s">
        <v>128</v>
      </c>
      <c r="F84" s="7" t="s">
        <v>127</v>
      </c>
      <c r="G84" s="7" t="s">
        <v>198</v>
      </c>
      <c r="H84" s="7" t="s">
        <v>94</v>
      </c>
      <c r="I84" s="3"/>
      <c r="J84" s="3"/>
    </row>
    <row r="85" spans="1:10" x14ac:dyDescent="0.2">
      <c r="A85" s="6">
        <v>84</v>
      </c>
      <c r="B85" s="6" t="s">
        <v>64</v>
      </c>
      <c r="C85" s="7" t="s">
        <v>7</v>
      </c>
      <c r="D85" s="7">
        <v>2007</v>
      </c>
      <c r="E85" s="7" t="s">
        <v>128</v>
      </c>
      <c r="F85" s="7" t="s">
        <v>127</v>
      </c>
      <c r="G85" s="7" t="s">
        <v>11</v>
      </c>
      <c r="H85" s="7" t="s">
        <v>99</v>
      </c>
      <c r="I85" s="3"/>
      <c r="J85" s="3"/>
    </row>
    <row r="86" spans="1:10" x14ac:dyDescent="0.2">
      <c r="A86" s="6">
        <v>85</v>
      </c>
      <c r="B86" s="6" t="s">
        <v>65</v>
      </c>
      <c r="C86" s="7" t="s">
        <v>49</v>
      </c>
      <c r="D86" s="7">
        <v>2005</v>
      </c>
      <c r="E86" s="7" t="s">
        <v>128</v>
      </c>
      <c r="F86" s="7" t="s">
        <v>128</v>
      </c>
      <c r="G86" s="7" t="s">
        <v>11</v>
      </c>
      <c r="H86" s="7" t="s">
        <v>65</v>
      </c>
      <c r="I86" s="3"/>
      <c r="J86" s="3"/>
    </row>
    <row r="87" spans="1:10" x14ac:dyDescent="0.2">
      <c r="A87" s="6">
        <v>86</v>
      </c>
      <c r="B87" s="6" t="s">
        <v>66</v>
      </c>
      <c r="C87" s="7" t="s">
        <v>49</v>
      </c>
      <c r="D87" s="7">
        <v>2014</v>
      </c>
      <c r="E87" s="7" t="s">
        <v>128</v>
      </c>
      <c r="F87" s="7" t="s">
        <v>127</v>
      </c>
      <c r="G87" s="7" t="s">
        <v>199</v>
      </c>
      <c r="H87" s="7" t="s">
        <v>8</v>
      </c>
      <c r="I87" s="3"/>
      <c r="J87" s="3"/>
    </row>
    <row r="88" spans="1:10" x14ac:dyDescent="0.2">
      <c r="A88" s="6">
        <v>87</v>
      </c>
      <c r="B88" s="6" t="s">
        <v>66</v>
      </c>
      <c r="C88" s="7" t="s">
        <v>49</v>
      </c>
      <c r="D88" s="7">
        <v>2016</v>
      </c>
      <c r="E88" s="7" t="s">
        <v>128</v>
      </c>
      <c r="F88" s="7" t="s">
        <v>127</v>
      </c>
      <c r="G88" s="7" t="s">
        <v>200</v>
      </c>
      <c r="H88" s="7" t="s">
        <v>108</v>
      </c>
      <c r="I88" s="3"/>
      <c r="J88" s="3"/>
    </row>
    <row r="89" spans="1:10" x14ac:dyDescent="0.2">
      <c r="A89" s="6">
        <v>88</v>
      </c>
      <c r="B89" s="6" t="s">
        <v>66</v>
      </c>
      <c r="C89" s="7" t="s">
        <v>49</v>
      </c>
      <c r="D89" s="7">
        <v>2009</v>
      </c>
      <c r="E89" s="7" t="s">
        <v>128</v>
      </c>
      <c r="F89" s="7" t="s">
        <v>127</v>
      </c>
      <c r="G89" s="7" t="s">
        <v>11</v>
      </c>
      <c r="H89" s="7" t="s">
        <v>94</v>
      </c>
      <c r="I89" s="3"/>
      <c r="J89" s="3"/>
    </row>
    <row r="90" spans="1:10" x14ac:dyDescent="0.2">
      <c r="A90" s="6">
        <v>89</v>
      </c>
      <c r="B90" s="6" t="s">
        <v>67</v>
      </c>
      <c r="C90" s="7" t="s">
        <v>7</v>
      </c>
      <c r="D90" s="7">
        <v>2012</v>
      </c>
      <c r="E90" s="7" t="s">
        <v>128</v>
      </c>
      <c r="F90" s="7" t="s">
        <v>128</v>
      </c>
      <c r="G90" s="7" t="s">
        <v>11</v>
      </c>
      <c r="H90" s="7" t="s">
        <v>119</v>
      </c>
      <c r="I90" s="3"/>
      <c r="J90" s="3"/>
    </row>
    <row r="91" spans="1:10" x14ac:dyDescent="0.2">
      <c r="A91" s="6">
        <v>90</v>
      </c>
      <c r="B91" s="6" t="s">
        <v>68</v>
      </c>
      <c r="C91" s="7" t="s">
        <v>49</v>
      </c>
      <c r="D91" s="7">
        <v>2014</v>
      </c>
      <c r="E91" s="7" t="s">
        <v>128</v>
      </c>
      <c r="F91" s="7" t="s">
        <v>127</v>
      </c>
      <c r="G91" s="7" t="s">
        <v>11</v>
      </c>
      <c r="H91" s="7" t="s">
        <v>120</v>
      </c>
      <c r="I91" s="3"/>
      <c r="J91" s="3"/>
    </row>
    <row r="92" spans="1:10" x14ac:dyDescent="0.2">
      <c r="A92" s="6">
        <v>91</v>
      </c>
      <c r="B92" s="6" t="s">
        <v>69</v>
      </c>
      <c r="C92" s="7" t="s">
        <v>7</v>
      </c>
      <c r="D92" s="7">
        <v>2008</v>
      </c>
      <c r="E92" s="7" t="s">
        <v>128</v>
      </c>
      <c r="F92" s="7" t="s">
        <v>127</v>
      </c>
      <c r="G92" s="7" t="s">
        <v>11</v>
      </c>
      <c r="H92" s="7" t="s">
        <v>94</v>
      </c>
      <c r="I92" s="3"/>
      <c r="J92" s="3"/>
    </row>
    <row r="93" spans="1:10" x14ac:dyDescent="0.2">
      <c r="A93" s="6">
        <v>92</v>
      </c>
      <c r="B93" s="6" t="s">
        <v>70</v>
      </c>
      <c r="C93" s="7" t="s">
        <v>7</v>
      </c>
      <c r="D93" s="7">
        <v>2008</v>
      </c>
      <c r="E93" s="7" t="s">
        <v>128</v>
      </c>
      <c r="F93" s="7" t="s">
        <v>127</v>
      </c>
      <c r="G93" s="7" t="s">
        <v>11</v>
      </c>
      <c r="H93" s="7" t="s">
        <v>97</v>
      </c>
      <c r="I93" s="3"/>
      <c r="J93" s="3"/>
    </row>
    <row r="94" spans="1:10" x14ac:dyDescent="0.2">
      <c r="A94" s="6">
        <v>93</v>
      </c>
      <c r="B94" s="6" t="s">
        <v>72</v>
      </c>
      <c r="C94" s="7" t="s">
        <v>7</v>
      </c>
      <c r="D94" s="7">
        <v>2013</v>
      </c>
      <c r="E94" s="7" t="s">
        <v>128</v>
      </c>
      <c r="F94" s="7" t="s">
        <v>127</v>
      </c>
      <c r="G94" s="7" t="s">
        <v>11</v>
      </c>
      <c r="H94" s="7" t="s">
        <v>97</v>
      </c>
      <c r="I94" s="3"/>
      <c r="J94" s="3"/>
    </row>
    <row r="95" spans="1:10" x14ac:dyDescent="0.2">
      <c r="A95" s="6">
        <v>94</v>
      </c>
      <c r="B95" s="6" t="s">
        <v>73</v>
      </c>
      <c r="C95" s="7" t="s">
        <v>49</v>
      </c>
      <c r="D95" s="7">
        <v>2015</v>
      </c>
      <c r="E95" s="7" t="s">
        <v>128</v>
      </c>
      <c r="F95" s="7" t="s">
        <v>127</v>
      </c>
      <c r="G95" s="7" t="s">
        <v>201</v>
      </c>
      <c r="H95" s="7" t="s">
        <v>94</v>
      </c>
      <c r="I95" s="3"/>
      <c r="J95" s="3"/>
    </row>
    <row r="96" spans="1:10" x14ac:dyDescent="0.2">
      <c r="A96" s="6">
        <v>95</v>
      </c>
      <c r="B96" s="6" t="s">
        <v>74</v>
      </c>
      <c r="C96" s="7" t="s">
        <v>7</v>
      </c>
      <c r="D96" s="7">
        <v>1995</v>
      </c>
      <c r="E96" s="7" t="s">
        <v>128</v>
      </c>
      <c r="F96" s="7" t="s">
        <v>127</v>
      </c>
      <c r="G96" s="7" t="s">
        <v>11</v>
      </c>
      <c r="H96" s="7" t="s">
        <v>98</v>
      </c>
      <c r="I96" s="3"/>
      <c r="J96" s="3"/>
    </row>
    <row r="97" spans="1:10" x14ac:dyDescent="0.2">
      <c r="A97" s="6">
        <v>96</v>
      </c>
      <c r="B97" s="6" t="s">
        <v>75</v>
      </c>
      <c r="C97" s="7" t="s">
        <v>7</v>
      </c>
      <c r="D97" s="7">
        <v>2003</v>
      </c>
      <c r="E97" s="7" t="s">
        <v>128</v>
      </c>
      <c r="F97" s="7" t="s">
        <v>127</v>
      </c>
      <c r="G97" s="7" t="s">
        <v>11</v>
      </c>
      <c r="H97" s="7" t="s">
        <v>97</v>
      </c>
      <c r="I97" s="3"/>
      <c r="J97" s="3"/>
    </row>
    <row r="98" spans="1:10" x14ac:dyDescent="0.2">
      <c r="A98" s="6">
        <v>97</v>
      </c>
      <c r="B98" s="6" t="s">
        <v>76</v>
      </c>
      <c r="C98" s="7" t="s">
        <v>7</v>
      </c>
      <c r="D98" s="7">
        <v>2008</v>
      </c>
      <c r="E98" s="7" t="s">
        <v>128</v>
      </c>
      <c r="F98" s="7" t="s">
        <v>127</v>
      </c>
      <c r="G98" s="7" t="s">
        <v>11</v>
      </c>
      <c r="H98" s="7" t="s">
        <v>94</v>
      </c>
      <c r="I98" s="3"/>
      <c r="J98" s="3"/>
    </row>
    <row r="99" spans="1:10" x14ac:dyDescent="0.2">
      <c r="A99" s="6">
        <v>98</v>
      </c>
      <c r="B99" s="6" t="s">
        <v>77</v>
      </c>
      <c r="C99" s="7" t="s">
        <v>136</v>
      </c>
      <c r="D99" s="7">
        <v>2015</v>
      </c>
      <c r="E99" s="7" t="s">
        <v>128</v>
      </c>
      <c r="F99" s="7" t="s">
        <v>127</v>
      </c>
      <c r="G99" s="7" t="s">
        <v>202</v>
      </c>
      <c r="H99" s="7" t="s">
        <v>8</v>
      </c>
      <c r="I99" s="3"/>
      <c r="J99" s="3"/>
    </row>
    <row r="100" spans="1:10" x14ac:dyDescent="0.2">
      <c r="A100" s="6">
        <v>99</v>
      </c>
      <c r="B100" s="6" t="s">
        <v>77</v>
      </c>
      <c r="C100" s="7" t="s">
        <v>136</v>
      </c>
      <c r="D100" s="7">
        <v>2018</v>
      </c>
      <c r="E100" s="7" t="s">
        <v>128</v>
      </c>
      <c r="F100" s="7" t="s">
        <v>127</v>
      </c>
      <c r="G100" s="7" t="s">
        <v>203</v>
      </c>
      <c r="H100" s="7" t="s">
        <v>8</v>
      </c>
      <c r="I100" s="3"/>
      <c r="J100" s="3"/>
    </row>
    <row r="101" spans="1:10" x14ac:dyDescent="0.2">
      <c r="A101" s="6">
        <v>100</v>
      </c>
      <c r="B101" s="6" t="s">
        <v>78</v>
      </c>
      <c r="C101" s="7" t="s">
        <v>7</v>
      </c>
      <c r="D101" s="7">
        <v>2010</v>
      </c>
      <c r="E101" s="7" t="s">
        <v>128</v>
      </c>
      <c r="F101" s="7" t="s">
        <v>127</v>
      </c>
      <c r="G101" s="7" t="s">
        <v>11</v>
      </c>
      <c r="H101" s="7" t="s">
        <v>107</v>
      </c>
      <c r="I101" s="3"/>
      <c r="J101" s="3"/>
    </row>
    <row r="102" spans="1:10" x14ac:dyDescent="0.2">
      <c r="A102" s="6">
        <v>101</v>
      </c>
      <c r="B102" s="6" t="s">
        <v>79</v>
      </c>
      <c r="C102" s="7" t="s">
        <v>7</v>
      </c>
      <c r="D102" s="7">
        <v>2014</v>
      </c>
      <c r="E102" s="7" t="s">
        <v>128</v>
      </c>
      <c r="F102" s="8" t="s">
        <v>128</v>
      </c>
      <c r="G102" s="8" t="s">
        <v>11</v>
      </c>
      <c r="H102" s="7" t="s">
        <v>121</v>
      </c>
      <c r="I102" s="3"/>
      <c r="J102" s="3"/>
    </row>
    <row r="103" spans="1:10" x14ac:dyDescent="0.2">
      <c r="A103" s="6">
        <v>102</v>
      </c>
      <c r="B103" s="6" t="s">
        <v>80</v>
      </c>
      <c r="C103" s="7" t="s">
        <v>7</v>
      </c>
      <c r="D103" s="7">
        <v>2004</v>
      </c>
      <c r="E103" s="7" t="s">
        <v>128</v>
      </c>
      <c r="F103" s="7" t="s">
        <v>127</v>
      </c>
      <c r="G103" s="7" t="s">
        <v>11</v>
      </c>
      <c r="H103" s="7" t="s">
        <v>99</v>
      </c>
      <c r="I103" s="3"/>
      <c r="J103" s="3"/>
    </row>
    <row r="104" spans="1:10" x14ac:dyDescent="0.2">
      <c r="A104" s="6">
        <v>103</v>
      </c>
      <c r="B104" s="6" t="s">
        <v>81</v>
      </c>
      <c r="C104" s="7" t="s">
        <v>7</v>
      </c>
      <c r="D104" s="7">
        <v>2010</v>
      </c>
      <c r="E104" s="7" t="s">
        <v>128</v>
      </c>
      <c r="F104" s="7" t="s">
        <v>127</v>
      </c>
      <c r="G104" s="7" t="s">
        <v>362</v>
      </c>
      <c r="H104" s="7" t="s">
        <v>100</v>
      </c>
      <c r="I104" s="3"/>
      <c r="J104" s="3"/>
    </row>
    <row r="105" spans="1:10" x14ac:dyDescent="0.2">
      <c r="A105" s="6">
        <v>104</v>
      </c>
      <c r="B105" s="6" t="s">
        <v>81</v>
      </c>
      <c r="C105" s="7" t="s">
        <v>7</v>
      </c>
      <c r="D105" s="7">
        <v>2011</v>
      </c>
      <c r="E105" s="7" t="s">
        <v>128</v>
      </c>
      <c r="F105" s="7" t="s">
        <v>127</v>
      </c>
      <c r="G105" s="7" t="s">
        <v>204</v>
      </c>
      <c r="H105" s="7" t="s">
        <v>122</v>
      </c>
      <c r="I105" s="3"/>
      <c r="J105" s="3"/>
    </row>
    <row r="106" spans="1:10" x14ac:dyDescent="0.2">
      <c r="A106" s="6">
        <v>105</v>
      </c>
      <c r="B106" s="6" t="s">
        <v>82</v>
      </c>
      <c r="C106" s="7" t="s">
        <v>7</v>
      </c>
      <c r="D106" s="7">
        <v>2002</v>
      </c>
      <c r="E106" s="7" t="s">
        <v>128</v>
      </c>
      <c r="F106" s="7" t="s">
        <v>127</v>
      </c>
      <c r="G106" s="7" t="s">
        <v>11</v>
      </c>
      <c r="H106" s="7" t="s">
        <v>94</v>
      </c>
      <c r="I106" s="3"/>
      <c r="J106" s="3"/>
    </row>
    <row r="107" spans="1:10" x14ac:dyDescent="0.2">
      <c r="A107" s="6">
        <v>106</v>
      </c>
      <c r="B107" s="6" t="s">
        <v>82</v>
      </c>
      <c r="C107" s="7" t="s">
        <v>7</v>
      </c>
      <c r="D107" s="7">
        <v>2005</v>
      </c>
      <c r="E107" s="7" t="s">
        <v>128</v>
      </c>
      <c r="F107" s="7" t="s">
        <v>127</v>
      </c>
      <c r="G107" s="7" t="s">
        <v>11</v>
      </c>
      <c r="H107" s="7" t="s">
        <v>94</v>
      </c>
      <c r="I107" s="3"/>
      <c r="J107" s="3"/>
    </row>
    <row r="108" spans="1:10" x14ac:dyDescent="0.2">
      <c r="A108" s="6">
        <v>107</v>
      </c>
      <c r="B108" s="6" t="s">
        <v>83</v>
      </c>
      <c r="C108" s="7" t="s">
        <v>7</v>
      </c>
      <c r="D108" s="7">
        <v>1999</v>
      </c>
      <c r="E108" s="7" t="s">
        <v>128</v>
      </c>
      <c r="F108" s="7" t="s">
        <v>128</v>
      </c>
      <c r="G108" s="7" t="s">
        <v>11</v>
      </c>
      <c r="H108" s="7" t="s">
        <v>123</v>
      </c>
      <c r="I108" s="3"/>
      <c r="J108" s="3"/>
    </row>
    <row r="109" spans="1:10" x14ac:dyDescent="0.2">
      <c r="A109" s="6">
        <v>108</v>
      </c>
      <c r="B109" s="6" t="s">
        <v>83</v>
      </c>
      <c r="C109" s="7" t="s">
        <v>7</v>
      </c>
      <c r="D109" s="7">
        <v>1995</v>
      </c>
      <c r="E109" s="7" t="s">
        <v>128</v>
      </c>
      <c r="F109" s="7" t="s">
        <v>128</v>
      </c>
      <c r="G109" s="7" t="s">
        <v>11</v>
      </c>
      <c r="H109" s="7" t="s">
        <v>109</v>
      </c>
      <c r="I109" s="3"/>
      <c r="J109" s="3"/>
    </row>
    <row r="110" spans="1:10" x14ac:dyDescent="0.2">
      <c r="A110" s="6">
        <v>109</v>
      </c>
      <c r="B110" s="6" t="s">
        <v>84</v>
      </c>
      <c r="C110" s="7" t="s">
        <v>7</v>
      </c>
      <c r="D110" s="7">
        <v>2008</v>
      </c>
      <c r="E110" s="7" t="s">
        <v>128</v>
      </c>
      <c r="F110" s="7" t="s">
        <v>127</v>
      </c>
      <c r="G110" s="7" t="s">
        <v>11</v>
      </c>
      <c r="H110" s="7" t="s">
        <v>97</v>
      </c>
      <c r="I110" s="3"/>
      <c r="J110" s="3"/>
    </row>
    <row r="111" spans="1:10" x14ac:dyDescent="0.2">
      <c r="A111" s="6">
        <v>110</v>
      </c>
      <c r="B111" s="6" t="s">
        <v>85</v>
      </c>
      <c r="C111" s="7" t="s">
        <v>7</v>
      </c>
      <c r="D111" s="7">
        <v>2018</v>
      </c>
      <c r="E111" s="7" t="s">
        <v>128</v>
      </c>
      <c r="F111" s="7" t="s">
        <v>128</v>
      </c>
      <c r="G111" s="7" t="s">
        <v>11</v>
      </c>
      <c r="H111" s="7" t="s">
        <v>85</v>
      </c>
      <c r="I111" s="3"/>
      <c r="J111" s="3"/>
    </row>
    <row r="112" spans="1:10" x14ac:dyDescent="0.2">
      <c r="A112" s="6">
        <v>111</v>
      </c>
      <c r="B112" s="6" t="s">
        <v>86</v>
      </c>
      <c r="C112" s="7" t="s">
        <v>7</v>
      </c>
      <c r="D112" s="7">
        <v>2005</v>
      </c>
      <c r="E112" s="7" t="s">
        <v>128</v>
      </c>
      <c r="F112" s="7" t="s">
        <v>127</v>
      </c>
      <c r="G112" s="7" t="s">
        <v>11</v>
      </c>
      <c r="H112" s="7" t="s">
        <v>94</v>
      </c>
      <c r="I112" s="3"/>
      <c r="J112" s="3"/>
    </row>
    <row r="113" spans="1:10" x14ac:dyDescent="0.2">
      <c r="A113" s="6">
        <v>112</v>
      </c>
      <c r="B113" s="6" t="s">
        <v>87</v>
      </c>
      <c r="C113" s="7" t="s">
        <v>7</v>
      </c>
      <c r="D113" s="7">
        <v>2015</v>
      </c>
      <c r="E113" s="7" t="s">
        <v>128</v>
      </c>
      <c r="F113" s="7" t="s">
        <v>127</v>
      </c>
      <c r="G113" s="7" t="s">
        <v>11</v>
      </c>
      <c r="H113" s="7" t="s">
        <v>103</v>
      </c>
      <c r="I113" s="3"/>
      <c r="J113" s="3"/>
    </row>
    <row r="114" spans="1:10" x14ac:dyDescent="0.2">
      <c r="A114" s="6">
        <v>113</v>
      </c>
      <c r="B114" s="6" t="s">
        <v>88</v>
      </c>
      <c r="C114" s="7" t="s">
        <v>7</v>
      </c>
      <c r="D114" s="7">
        <v>2003</v>
      </c>
      <c r="E114" s="7" t="s">
        <v>128</v>
      </c>
      <c r="F114" s="7" t="s">
        <v>127</v>
      </c>
      <c r="G114" s="7" t="s">
        <v>11</v>
      </c>
      <c r="H114" s="7" t="s">
        <v>94</v>
      </c>
      <c r="I114" s="3"/>
      <c r="J114" s="3"/>
    </row>
    <row r="115" spans="1:10" x14ac:dyDescent="0.2">
      <c r="A115" s="6">
        <v>114</v>
      </c>
      <c r="B115" s="6" t="s">
        <v>88</v>
      </c>
      <c r="C115" s="7" t="s">
        <v>7</v>
      </c>
      <c r="D115" s="7">
        <v>2015</v>
      </c>
      <c r="E115" s="7" t="s">
        <v>128</v>
      </c>
      <c r="F115" s="7" t="s">
        <v>127</v>
      </c>
      <c r="G115" s="7" t="s">
        <v>11</v>
      </c>
      <c r="H115" s="7" t="s">
        <v>101</v>
      </c>
      <c r="I115" s="3"/>
      <c r="J115" s="3"/>
    </row>
    <row r="116" spans="1:10" x14ac:dyDescent="0.2">
      <c r="A116" s="6">
        <v>115</v>
      </c>
      <c r="B116" s="6" t="s">
        <v>89</v>
      </c>
      <c r="C116" s="7" t="s">
        <v>7</v>
      </c>
      <c r="D116" s="7">
        <v>2016</v>
      </c>
      <c r="E116" s="7" t="s">
        <v>128</v>
      </c>
      <c r="F116" s="7" t="s">
        <v>127</v>
      </c>
      <c r="G116" s="7" t="s">
        <v>205</v>
      </c>
      <c r="H116" s="7" t="s">
        <v>94</v>
      </c>
      <c r="I116" s="3"/>
      <c r="J116" s="3"/>
    </row>
    <row r="117" spans="1:10" x14ac:dyDescent="0.2">
      <c r="A117" s="6">
        <v>116</v>
      </c>
      <c r="B117" s="6" t="s">
        <v>90</v>
      </c>
      <c r="C117" s="7" t="s">
        <v>49</v>
      </c>
      <c r="D117" s="7">
        <v>2017</v>
      </c>
      <c r="E117" s="7" t="s">
        <v>128</v>
      </c>
      <c r="F117" s="7" t="s">
        <v>127</v>
      </c>
      <c r="G117" s="7" t="s">
        <v>206</v>
      </c>
      <c r="H117" s="7" t="s">
        <v>8</v>
      </c>
      <c r="I117" s="3"/>
      <c r="J117" s="3"/>
    </row>
    <row r="118" spans="1:10" x14ac:dyDescent="0.2">
      <c r="A118" s="6">
        <v>117</v>
      </c>
      <c r="B118" s="6" t="s">
        <v>91</v>
      </c>
      <c r="C118" s="7" t="s">
        <v>136</v>
      </c>
      <c r="D118" s="7">
        <v>2015</v>
      </c>
      <c r="E118" s="7" t="s">
        <v>128</v>
      </c>
      <c r="F118" s="7" t="s">
        <v>127</v>
      </c>
      <c r="G118" s="7" t="s">
        <v>207</v>
      </c>
      <c r="H118" s="7" t="s">
        <v>124</v>
      </c>
      <c r="I118" s="3"/>
      <c r="J118" s="3"/>
    </row>
    <row r="119" spans="1:10" x14ac:dyDescent="0.2">
      <c r="A119" s="6">
        <v>118</v>
      </c>
      <c r="B119" s="6" t="s">
        <v>92</v>
      </c>
      <c r="C119" s="7" t="s">
        <v>7</v>
      </c>
      <c r="D119" s="7">
        <v>1994</v>
      </c>
      <c r="E119" s="7" t="s">
        <v>128</v>
      </c>
      <c r="F119" s="7" t="s">
        <v>128</v>
      </c>
      <c r="G119" s="7" t="s">
        <v>11</v>
      </c>
      <c r="H119" s="7" t="s">
        <v>125</v>
      </c>
      <c r="I119" s="3"/>
      <c r="J119" s="3"/>
    </row>
    <row r="120" spans="1:10" x14ac:dyDescent="0.2">
      <c r="A120" s="9">
        <v>119</v>
      </c>
      <c r="B120" s="9" t="s">
        <v>93</v>
      </c>
      <c r="C120" s="10" t="s">
        <v>7</v>
      </c>
      <c r="D120" s="10">
        <v>2004</v>
      </c>
      <c r="E120" s="10" t="s">
        <v>128</v>
      </c>
      <c r="F120" s="10" t="s">
        <v>127</v>
      </c>
      <c r="G120" s="10" t="s">
        <v>11</v>
      </c>
      <c r="H120" s="10" t="s">
        <v>94</v>
      </c>
      <c r="I120" s="3"/>
      <c r="J120" s="3"/>
    </row>
    <row r="121" spans="1:10" x14ac:dyDescent="0.2">
      <c r="A121" s="15"/>
      <c r="B121" s="15"/>
      <c r="C121" s="16"/>
      <c r="D121" s="16"/>
      <c r="E121" s="16"/>
      <c r="F121" s="16"/>
      <c r="G121" s="16"/>
      <c r="H121" s="16"/>
      <c r="I121" s="3"/>
      <c r="J121" s="3"/>
    </row>
    <row r="122" spans="1:10" x14ac:dyDescent="0.2">
      <c r="A122" s="2"/>
      <c r="B122" s="2"/>
      <c r="C122" s="3"/>
      <c r="D122" s="3"/>
      <c r="E122" s="3"/>
      <c r="F122" s="3"/>
      <c r="G122" s="3"/>
      <c r="H122" s="3"/>
      <c r="I122" s="3"/>
      <c r="J122" s="3"/>
    </row>
    <row r="123" spans="1:10" x14ac:dyDescent="0.2">
      <c r="A123" s="2"/>
      <c r="B123" s="2"/>
      <c r="C123" s="3"/>
      <c r="D123" s="3"/>
      <c r="E123" s="3"/>
      <c r="F123" s="3"/>
      <c r="G123" s="3"/>
      <c r="H123" s="3"/>
      <c r="I123" s="3"/>
      <c r="J123" s="3"/>
    </row>
    <row r="124" spans="1:10" x14ac:dyDescent="0.2">
      <c r="A124" s="2"/>
      <c r="B124" s="2"/>
      <c r="C124" s="3"/>
      <c r="D124" s="3"/>
      <c r="E124" s="3"/>
      <c r="F124" s="3"/>
      <c r="G124" s="3">
        <f>COUNTIF(G2:G120, "N/A")</f>
        <v>82</v>
      </c>
      <c r="H124" s="3"/>
      <c r="I124" s="3"/>
      <c r="J124" s="3"/>
    </row>
    <row r="125" spans="1:10" x14ac:dyDescent="0.2">
      <c r="A125" s="2"/>
      <c r="B125" s="2"/>
      <c r="C125" s="3"/>
      <c r="D125" s="3"/>
      <c r="E125" s="3"/>
      <c r="F125" s="3"/>
      <c r="G125" s="3"/>
      <c r="H125" s="3"/>
      <c r="I125" s="3"/>
      <c r="J125" s="3"/>
    </row>
    <row r="126" spans="1:10" x14ac:dyDescent="0.2">
      <c r="A126" s="2"/>
      <c r="B126" s="26"/>
      <c r="C126" s="3"/>
      <c r="D126" s="3"/>
      <c r="E126" s="3"/>
      <c r="F126" s="3"/>
      <c r="G126" s="3"/>
      <c r="H126" s="3"/>
      <c r="I126" s="3"/>
      <c r="J126" s="3"/>
    </row>
    <row r="127" spans="1:10" x14ac:dyDescent="0.2">
      <c r="A127" s="2"/>
      <c r="B127" s="2"/>
      <c r="C127" s="3"/>
      <c r="D127" s="3"/>
      <c r="E127" s="3"/>
      <c r="F127" s="3"/>
      <c r="G127" s="3"/>
      <c r="H127" s="3"/>
      <c r="I127" s="3"/>
      <c r="J127" s="3"/>
    </row>
    <row r="128" spans="1:10" x14ac:dyDescent="0.2">
      <c r="A128" s="2"/>
      <c r="B128" s="2"/>
      <c r="C128" s="3"/>
      <c r="D128" s="3"/>
      <c r="E128" s="3"/>
      <c r="F128" s="3"/>
      <c r="G128" s="3"/>
      <c r="H128" s="3"/>
      <c r="I128" s="3"/>
    </row>
    <row r="129" spans="1:9" x14ac:dyDescent="0.2">
      <c r="A129" s="2"/>
      <c r="B129" s="2"/>
      <c r="C129" s="3"/>
      <c r="D129" s="3"/>
      <c r="E129" s="3"/>
      <c r="F129" s="3"/>
      <c r="G129" s="3"/>
      <c r="H129" s="3"/>
      <c r="I129" s="3"/>
    </row>
    <row r="130" spans="1:9" x14ac:dyDescent="0.2">
      <c r="A130" s="2"/>
      <c r="B130" s="2"/>
      <c r="C130" s="3"/>
      <c r="D130" s="3"/>
      <c r="E130" s="3"/>
      <c r="F130" s="3"/>
      <c r="G130" s="3"/>
      <c r="H130" s="3"/>
      <c r="I130" s="3"/>
    </row>
    <row r="131" spans="1:9" x14ac:dyDescent="0.2">
      <c r="A131" s="2"/>
      <c r="B131" s="2"/>
      <c r="C131" s="3"/>
      <c r="D131" s="3"/>
      <c r="E131" s="3"/>
      <c r="F131" s="3"/>
      <c r="G131" s="3"/>
      <c r="H131" s="3"/>
      <c r="I131" s="3"/>
    </row>
    <row r="132" spans="1:9" x14ac:dyDescent="0.2">
      <c r="A132" s="2"/>
      <c r="B132" s="2"/>
      <c r="C132" s="3"/>
      <c r="D132" s="3"/>
      <c r="E132" s="3"/>
      <c r="F132" s="3"/>
      <c r="G132" s="3"/>
      <c r="H132" s="3"/>
      <c r="I132" s="3"/>
    </row>
    <row r="133" spans="1:9" x14ac:dyDescent="0.2">
      <c r="A133" s="2"/>
      <c r="B133" s="2"/>
      <c r="C133" s="3"/>
      <c r="D133" s="3"/>
      <c r="E133" s="3"/>
      <c r="F133" s="3"/>
      <c r="G133" s="3"/>
      <c r="H133" s="3"/>
      <c r="I133" s="3"/>
    </row>
    <row r="134" spans="1:9" x14ac:dyDescent="0.2">
      <c r="A134" s="2"/>
      <c r="B134" s="2"/>
      <c r="C134" s="3"/>
      <c r="D134" s="3"/>
      <c r="E134" s="3"/>
      <c r="F134" s="3"/>
      <c r="G134" s="3"/>
      <c r="H134" s="3"/>
      <c r="I134" s="3"/>
    </row>
    <row r="135" spans="1:9" x14ac:dyDescent="0.2">
      <c r="A135" s="2"/>
      <c r="B135" s="2"/>
      <c r="C135" s="3"/>
      <c r="D135" s="3"/>
      <c r="E135" s="3"/>
      <c r="F135" s="3"/>
      <c r="G135" s="3"/>
      <c r="H135" s="3"/>
      <c r="I135" s="3"/>
    </row>
    <row r="136" spans="1:9" x14ac:dyDescent="0.2">
      <c r="A136" s="2"/>
      <c r="B136" s="2"/>
      <c r="C136" s="3"/>
      <c r="D136" s="3"/>
      <c r="E136" s="3"/>
      <c r="F136" s="3"/>
      <c r="G136" s="3"/>
      <c r="H136" s="3"/>
      <c r="I136" s="3"/>
    </row>
    <row r="137" spans="1:9" x14ac:dyDescent="0.2">
      <c r="A137" s="2"/>
      <c r="B137" s="2"/>
      <c r="C137" s="3"/>
      <c r="D137" s="3"/>
      <c r="E137" s="3"/>
      <c r="F137" s="3"/>
      <c r="G137" s="3"/>
      <c r="H137" s="3"/>
      <c r="I137" s="3"/>
    </row>
    <row r="138" spans="1:9" x14ac:dyDescent="0.2">
      <c r="A138" s="2"/>
      <c r="B138" s="2"/>
      <c r="C138" s="3"/>
      <c r="D138" s="3"/>
      <c r="E138" s="3"/>
      <c r="F138" s="3"/>
      <c r="G138" s="3"/>
      <c r="H138" s="3"/>
      <c r="I138" s="3"/>
    </row>
    <row r="139" spans="1:9" x14ac:dyDescent="0.2">
      <c r="A139" s="2"/>
      <c r="B139" s="2"/>
      <c r="C139" s="3"/>
      <c r="D139" s="3"/>
      <c r="E139" s="3"/>
      <c r="F139" s="3"/>
      <c r="G139" s="3"/>
      <c r="H139" s="3"/>
      <c r="I139" s="3"/>
    </row>
    <row r="140" spans="1:9" x14ac:dyDescent="0.2">
      <c r="A140" s="2"/>
      <c r="B140" s="2"/>
      <c r="C140" s="3"/>
      <c r="D140" s="3"/>
      <c r="E140" s="3"/>
      <c r="F140" s="3"/>
      <c r="G140" s="3"/>
      <c r="H140" s="3"/>
      <c r="I140" s="3"/>
    </row>
    <row r="141" spans="1:9" x14ac:dyDescent="0.2">
      <c r="A141" s="2"/>
      <c r="B141" s="2"/>
      <c r="C141" s="3"/>
      <c r="D141" s="3"/>
      <c r="E141" s="3"/>
      <c r="F141" s="3"/>
      <c r="G141" s="3"/>
      <c r="H141" s="3"/>
      <c r="I141" s="3"/>
    </row>
    <row r="142" spans="1:9" x14ac:dyDescent="0.2">
      <c r="A142" s="2"/>
      <c r="B142" s="2"/>
      <c r="C142" s="3"/>
      <c r="D142" s="3"/>
      <c r="E142" s="3"/>
      <c r="F142" s="3"/>
      <c r="G142" s="3"/>
      <c r="H142" s="3"/>
      <c r="I142" s="3"/>
    </row>
    <row r="143" spans="1:9" x14ac:dyDescent="0.2">
      <c r="A143" s="2"/>
      <c r="B143" s="2"/>
      <c r="C143" s="3"/>
      <c r="D143" s="3"/>
      <c r="E143" s="3"/>
      <c r="F143" s="3"/>
      <c r="G143" s="3"/>
      <c r="H143" s="3"/>
      <c r="I143" s="3"/>
    </row>
    <row r="144" spans="1:9" x14ac:dyDescent="0.2">
      <c r="A144" s="2"/>
      <c r="B144" s="2"/>
      <c r="C144" s="3"/>
      <c r="D144" s="3"/>
      <c r="E144" s="3"/>
      <c r="F144" s="3"/>
      <c r="G144" s="3"/>
      <c r="H144" s="3"/>
      <c r="I144" s="3"/>
    </row>
    <row r="145" spans="1:9" x14ac:dyDescent="0.2">
      <c r="A145" s="2"/>
      <c r="B145" s="2"/>
      <c r="C145" s="3"/>
      <c r="D145" s="3"/>
      <c r="E145" s="3"/>
      <c r="F145" s="3"/>
      <c r="G145" s="3"/>
      <c r="H145" s="3"/>
      <c r="I145" s="3"/>
    </row>
    <row r="146" spans="1:9" x14ac:dyDescent="0.2">
      <c r="A146" s="2"/>
      <c r="B146" s="2"/>
      <c r="C146" s="3"/>
      <c r="D146" s="3"/>
      <c r="E146" s="3"/>
      <c r="F146" s="3"/>
      <c r="G146" s="3"/>
      <c r="H146" s="3"/>
      <c r="I146" s="3"/>
    </row>
    <row r="147" spans="1:9" x14ac:dyDescent="0.2">
      <c r="A147" s="2"/>
      <c r="B147" s="2"/>
      <c r="C147" s="3"/>
      <c r="D147" s="3"/>
      <c r="E147" s="3"/>
      <c r="F147" s="3"/>
      <c r="G147" s="3"/>
      <c r="H147" s="3"/>
      <c r="I147" s="3"/>
    </row>
    <row r="148" spans="1:9" x14ac:dyDescent="0.2">
      <c r="A148" s="2"/>
      <c r="B148" s="2"/>
      <c r="C148" s="3"/>
      <c r="D148" s="3"/>
      <c r="E148" s="3"/>
      <c r="F148" s="3"/>
      <c r="G148" s="3"/>
      <c r="H148" s="3"/>
      <c r="I148" s="3"/>
    </row>
    <row r="149" spans="1:9" x14ac:dyDescent="0.2">
      <c r="A149" s="2"/>
      <c r="B149" s="2"/>
      <c r="C149" s="3"/>
      <c r="D149" s="3"/>
      <c r="E149" s="3"/>
      <c r="F149" s="3"/>
      <c r="G149" s="3"/>
      <c r="H149" s="3"/>
      <c r="I149" s="3"/>
    </row>
    <row r="150" spans="1:9" x14ac:dyDescent="0.2">
      <c r="A150" s="2"/>
      <c r="B150" s="2"/>
      <c r="C150" s="3"/>
      <c r="D150" s="3"/>
      <c r="E150" s="3"/>
      <c r="F150" s="3"/>
      <c r="G150" s="3"/>
      <c r="H150" s="3"/>
      <c r="I150" s="3"/>
    </row>
    <row r="151" spans="1:9" x14ac:dyDescent="0.2">
      <c r="A151" s="2"/>
      <c r="B151" s="2"/>
      <c r="C151" s="3"/>
      <c r="D151" s="3"/>
      <c r="E151" s="3"/>
      <c r="F151" s="3"/>
      <c r="G151" s="3"/>
      <c r="H151" s="3"/>
      <c r="I151" s="3"/>
    </row>
    <row r="152" spans="1:9" x14ac:dyDescent="0.2">
      <c r="A152" s="2"/>
      <c r="B152" s="2"/>
      <c r="C152" s="3"/>
      <c r="D152" s="3"/>
      <c r="E152" s="3"/>
      <c r="F152" s="3"/>
      <c r="G152" s="3"/>
      <c r="H152" s="3"/>
      <c r="I152" s="3"/>
    </row>
    <row r="153" spans="1:9" x14ac:dyDescent="0.2">
      <c r="A153" s="2"/>
      <c r="B153" s="2"/>
      <c r="C153" s="3"/>
      <c r="D153" s="3"/>
      <c r="E153" s="3"/>
      <c r="F153" s="3"/>
      <c r="G153" s="3"/>
      <c r="H153" s="3"/>
      <c r="I153" s="3"/>
    </row>
    <row r="154" spans="1:9" x14ac:dyDescent="0.2">
      <c r="A154" s="2"/>
      <c r="B154" s="2"/>
      <c r="C154" s="3"/>
      <c r="D154" s="3"/>
      <c r="E154" s="3"/>
      <c r="F154" s="3"/>
      <c r="G154" s="3"/>
      <c r="H154" s="3"/>
      <c r="I154" s="3"/>
    </row>
    <row r="155" spans="1:9" x14ac:dyDescent="0.2">
      <c r="A155" s="2"/>
      <c r="B155" s="2"/>
      <c r="C155" s="3"/>
      <c r="D155" s="3"/>
      <c r="E155" s="3"/>
      <c r="F155" s="3"/>
      <c r="G155" s="3"/>
      <c r="H155" s="3"/>
      <c r="I155" s="3"/>
    </row>
    <row r="156" spans="1:9" x14ac:dyDescent="0.2">
      <c r="A156" s="2"/>
      <c r="B156" s="2"/>
      <c r="C156" s="3"/>
      <c r="D156" s="3"/>
      <c r="E156" s="3"/>
      <c r="F156" s="3"/>
      <c r="G156" s="3"/>
      <c r="H156" s="3"/>
      <c r="I156" s="3"/>
    </row>
    <row r="157" spans="1:9" x14ac:dyDescent="0.2">
      <c r="A157" s="2"/>
      <c r="B157" s="2"/>
      <c r="C157" s="3"/>
      <c r="D157" s="3"/>
      <c r="E157" s="3"/>
      <c r="F157" s="3"/>
      <c r="G157" s="3"/>
      <c r="H157" s="3"/>
      <c r="I157" s="3"/>
    </row>
    <row r="158" spans="1:9" x14ac:dyDescent="0.2">
      <c r="A158" s="2"/>
      <c r="B158" s="2"/>
      <c r="C158" s="3"/>
      <c r="D158" s="3"/>
      <c r="E158" s="3"/>
      <c r="F158" s="3"/>
      <c r="G158" s="3"/>
      <c r="H158" s="3"/>
      <c r="I158" s="3"/>
    </row>
    <row r="159" spans="1:9" x14ac:dyDescent="0.2">
      <c r="A159" s="2"/>
      <c r="B159" s="2"/>
      <c r="C159" s="3"/>
      <c r="D159" s="3"/>
      <c r="E159" s="3"/>
      <c r="F159" s="3"/>
      <c r="G159" s="3"/>
      <c r="H159" s="3"/>
      <c r="I159" s="3"/>
    </row>
    <row r="160" spans="1:9" x14ac:dyDescent="0.2">
      <c r="A160" s="2"/>
      <c r="B160" s="2"/>
      <c r="C160" s="3"/>
      <c r="D160" s="3"/>
      <c r="E160" s="3"/>
      <c r="F160" s="3"/>
      <c r="G160" s="3"/>
      <c r="H160" s="3"/>
      <c r="I160" s="3"/>
    </row>
    <row r="161" spans="1:9" x14ac:dyDescent="0.2">
      <c r="A161" s="2"/>
      <c r="B161" s="2"/>
      <c r="C161" s="3"/>
      <c r="D161" s="3"/>
      <c r="E161" s="3"/>
      <c r="F161" s="3"/>
      <c r="G161" s="3"/>
      <c r="H161" s="3"/>
      <c r="I161" s="3"/>
    </row>
    <row r="162" spans="1:9" x14ac:dyDescent="0.2">
      <c r="A162" s="2"/>
      <c r="B162" s="2"/>
      <c r="C162" s="3"/>
      <c r="D162" s="3"/>
      <c r="E162" s="3"/>
      <c r="F162" s="3"/>
      <c r="G162" s="3"/>
      <c r="H162" s="3"/>
      <c r="I162" s="3"/>
    </row>
    <row r="163" spans="1:9" x14ac:dyDescent="0.2">
      <c r="A163" s="2"/>
      <c r="B163" s="2"/>
      <c r="C163" s="3"/>
      <c r="D163" s="3"/>
      <c r="E163" s="3"/>
      <c r="F163" s="3"/>
      <c r="G163" s="3"/>
      <c r="H163" s="3"/>
      <c r="I163" s="3"/>
    </row>
    <row r="164" spans="1:9" x14ac:dyDescent="0.2">
      <c r="A164" s="2"/>
      <c r="B164" s="2"/>
      <c r="C164" s="3"/>
      <c r="D164" s="3"/>
      <c r="E164" s="3"/>
      <c r="F164" s="3"/>
      <c r="G164" s="3"/>
      <c r="H164" s="3"/>
      <c r="I164" s="3"/>
    </row>
    <row r="165" spans="1:9" x14ac:dyDescent="0.2">
      <c r="A165" s="2"/>
      <c r="B165" s="2"/>
      <c r="C165" s="3"/>
      <c r="D165" s="3"/>
      <c r="E165" s="3"/>
      <c r="F165" s="3"/>
      <c r="G165" s="3"/>
      <c r="H165" s="3"/>
      <c r="I165" s="3"/>
    </row>
    <row r="166" spans="1:9" x14ac:dyDescent="0.2">
      <c r="A166" s="2"/>
      <c r="B166" s="2"/>
      <c r="C166" s="3"/>
      <c r="D166" s="3"/>
      <c r="E166" s="3"/>
      <c r="F166" s="3"/>
      <c r="G166" s="3"/>
      <c r="H166" s="3"/>
      <c r="I166" s="3"/>
    </row>
    <row r="167" spans="1:9" x14ac:dyDescent="0.2">
      <c r="A167" s="2"/>
      <c r="B167" s="2"/>
      <c r="C167" s="3"/>
      <c r="D167" s="3"/>
      <c r="E167" s="3"/>
      <c r="F167" s="3"/>
      <c r="G167" s="3"/>
      <c r="H167" s="3"/>
      <c r="I167" s="3"/>
    </row>
    <row r="168" spans="1:9" x14ac:dyDescent="0.2">
      <c r="A168" s="2"/>
      <c r="B168" s="2"/>
      <c r="C168" s="3"/>
      <c r="D168" s="3"/>
      <c r="E168" s="3"/>
      <c r="F168" s="3"/>
      <c r="G168" s="3"/>
      <c r="H168" s="3"/>
      <c r="I168" s="3"/>
    </row>
    <row r="169" spans="1:9" x14ac:dyDescent="0.2">
      <c r="A169" s="2"/>
      <c r="B169" s="2"/>
      <c r="C169" s="3"/>
      <c r="D169" s="3"/>
      <c r="E169" s="3"/>
      <c r="F169" s="3"/>
      <c r="G169" s="3"/>
      <c r="H169" s="3"/>
      <c r="I169" s="3"/>
    </row>
    <row r="170" spans="1:9" x14ac:dyDescent="0.2">
      <c r="A170" s="2"/>
      <c r="B170" s="2"/>
      <c r="C170" s="3"/>
      <c r="D170" s="3"/>
      <c r="E170" s="3"/>
      <c r="F170" s="3"/>
      <c r="G170" s="3"/>
      <c r="H170" s="3"/>
      <c r="I170" s="3"/>
    </row>
    <row r="171" spans="1:9" x14ac:dyDescent="0.2">
      <c r="A171" s="2"/>
      <c r="B171" s="2"/>
      <c r="C171" s="3"/>
      <c r="D171" s="3"/>
      <c r="E171" s="3"/>
      <c r="F171" s="3"/>
      <c r="G171" s="3"/>
      <c r="H171" s="3"/>
      <c r="I171" s="3"/>
    </row>
    <row r="172" spans="1:9" x14ac:dyDescent="0.2">
      <c r="A172" s="2"/>
      <c r="B172" s="2"/>
      <c r="C172" s="3"/>
      <c r="D172" s="3"/>
      <c r="E172" s="3"/>
      <c r="F172" s="3"/>
      <c r="G172" s="3"/>
      <c r="H172" s="3"/>
      <c r="I172" s="3"/>
    </row>
    <row r="173" spans="1:9" x14ac:dyDescent="0.2">
      <c r="A173" s="2"/>
      <c r="B173" s="2"/>
      <c r="C173" s="3"/>
      <c r="D173" s="3"/>
      <c r="E173" s="3"/>
      <c r="F173" s="3"/>
      <c r="G173" s="3"/>
      <c r="H173" s="3"/>
      <c r="I173" s="3"/>
    </row>
    <row r="174" spans="1:9" x14ac:dyDescent="0.2">
      <c r="A174" s="2"/>
      <c r="B174" s="2"/>
      <c r="C174" s="3"/>
      <c r="D174" s="3"/>
      <c r="E174" s="3"/>
      <c r="F174" s="3"/>
      <c r="G174" s="3"/>
      <c r="H174" s="3"/>
      <c r="I174" s="3"/>
    </row>
    <row r="175" spans="1:9" x14ac:dyDescent="0.2">
      <c r="A175" s="2"/>
      <c r="B175" s="2"/>
      <c r="C175" s="3"/>
      <c r="D175" s="3"/>
      <c r="E175" s="3"/>
      <c r="F175" s="3"/>
      <c r="G175" s="3"/>
      <c r="H175" s="3"/>
      <c r="I175" s="3"/>
    </row>
    <row r="176" spans="1:9" x14ac:dyDescent="0.2">
      <c r="A176" s="2"/>
      <c r="B176" s="2"/>
      <c r="C176" s="3"/>
      <c r="D176" s="3"/>
      <c r="E176" s="3"/>
      <c r="F176" s="3"/>
      <c r="G176" s="3"/>
      <c r="H176" s="3"/>
      <c r="I176" s="3"/>
    </row>
    <row r="177" spans="1:9" x14ac:dyDescent="0.2">
      <c r="A177" s="2"/>
      <c r="B177" s="2"/>
      <c r="C177" s="3"/>
      <c r="D177" s="3"/>
      <c r="E177" s="3"/>
      <c r="F177" s="3"/>
      <c r="G177" s="3"/>
      <c r="H177" s="3"/>
      <c r="I177" s="3"/>
    </row>
    <row r="178" spans="1:9" x14ac:dyDescent="0.2">
      <c r="A178" s="2"/>
      <c r="B178" s="2"/>
      <c r="C178" s="3"/>
      <c r="D178" s="3"/>
      <c r="E178" s="3"/>
      <c r="F178" s="3"/>
      <c r="G178" s="3"/>
      <c r="H178" s="3"/>
      <c r="I178" s="3"/>
    </row>
    <row r="179" spans="1:9" x14ac:dyDescent="0.2">
      <c r="A179" s="2"/>
      <c r="B179" s="2"/>
      <c r="C179" s="3"/>
      <c r="D179" s="3"/>
      <c r="E179" s="3"/>
      <c r="F179" s="3"/>
      <c r="G179" s="3"/>
      <c r="H179" s="3"/>
      <c r="I179" s="3"/>
    </row>
    <row r="180" spans="1:9" x14ac:dyDescent="0.2">
      <c r="A180" s="2"/>
      <c r="B180" s="2"/>
      <c r="C180" s="3"/>
      <c r="D180" s="3"/>
      <c r="E180" s="3"/>
      <c r="F180" s="3"/>
      <c r="G180" s="3"/>
      <c r="H180" s="3"/>
      <c r="I180" s="3"/>
    </row>
    <row r="181" spans="1:9" x14ac:dyDescent="0.2">
      <c r="A181" s="2"/>
      <c r="B181" s="2"/>
      <c r="C181" s="3"/>
      <c r="D181" s="3"/>
      <c r="E181" s="3"/>
      <c r="F181" s="3"/>
      <c r="G181" s="3"/>
      <c r="H181" s="3"/>
      <c r="I181" s="3"/>
    </row>
    <row r="182" spans="1:9" x14ac:dyDescent="0.2">
      <c r="A182" s="2"/>
      <c r="B182" s="2"/>
      <c r="C182" s="3"/>
      <c r="D182" s="3"/>
      <c r="E182" s="3"/>
      <c r="F182" s="3"/>
      <c r="G182" s="3"/>
      <c r="H182" s="3"/>
      <c r="I182" s="3"/>
    </row>
    <row r="183" spans="1:9" x14ac:dyDescent="0.2">
      <c r="A183" s="2"/>
      <c r="B183" s="2"/>
      <c r="C183" s="3"/>
      <c r="D183" s="3"/>
      <c r="E183" s="3"/>
      <c r="F183" s="3"/>
      <c r="G183" s="3"/>
      <c r="H183" s="3"/>
      <c r="I183" s="3"/>
    </row>
    <row r="184" spans="1:9" x14ac:dyDescent="0.2">
      <c r="A184" s="2"/>
      <c r="B184" s="2"/>
      <c r="C184" s="3"/>
      <c r="D184" s="3"/>
      <c r="E184" s="3"/>
      <c r="F184" s="3"/>
      <c r="G184" s="3"/>
      <c r="H184" s="3"/>
      <c r="I184" s="3"/>
    </row>
    <row r="185" spans="1:9" x14ac:dyDescent="0.2">
      <c r="A185" s="2"/>
      <c r="B185" s="2"/>
      <c r="C185" s="3"/>
      <c r="D185" s="3"/>
      <c r="E185" s="3"/>
      <c r="F185" s="3"/>
      <c r="G185" s="3"/>
      <c r="H185" s="3"/>
      <c r="I185" s="3"/>
    </row>
    <row r="186" spans="1:9" x14ac:dyDescent="0.2">
      <c r="A186" s="2"/>
      <c r="B186" s="2"/>
      <c r="C186" s="3"/>
      <c r="D186" s="3"/>
      <c r="E186" s="3"/>
      <c r="F186" s="3"/>
      <c r="G186" s="3"/>
      <c r="H186" s="3"/>
      <c r="I186" s="3"/>
    </row>
    <row r="187" spans="1:9" x14ac:dyDescent="0.2">
      <c r="A187" s="2"/>
      <c r="B187" s="2"/>
      <c r="C187" s="3"/>
      <c r="D187" s="3"/>
      <c r="E187" s="3"/>
      <c r="F187" s="3"/>
      <c r="G187" s="3"/>
      <c r="H187" s="3"/>
      <c r="I187" s="3"/>
    </row>
    <row r="188" spans="1:9" x14ac:dyDescent="0.2">
      <c r="A188" s="2"/>
      <c r="B188" s="2"/>
      <c r="C188" s="3"/>
      <c r="D188" s="3"/>
      <c r="E188" s="3"/>
      <c r="F188" s="3"/>
      <c r="G188" s="3"/>
      <c r="H188" s="3"/>
      <c r="I188" s="3"/>
    </row>
    <row r="189" spans="1:9" x14ac:dyDescent="0.2">
      <c r="A189" s="2"/>
      <c r="B189" s="2"/>
      <c r="C189" s="3"/>
      <c r="D189" s="3"/>
      <c r="E189" s="3"/>
      <c r="F189" s="3"/>
      <c r="G189" s="3"/>
      <c r="H189" s="3"/>
      <c r="I189" s="3"/>
    </row>
    <row r="190" spans="1:9" x14ac:dyDescent="0.2">
      <c r="A190" s="2"/>
      <c r="B190" s="2"/>
      <c r="C190" s="3"/>
      <c r="D190" s="3"/>
      <c r="E190" s="3"/>
      <c r="F190" s="3"/>
      <c r="G190" s="3"/>
      <c r="H190" s="3"/>
      <c r="I190" s="3"/>
    </row>
    <row r="191" spans="1:9" x14ac:dyDescent="0.2">
      <c r="A191" s="2"/>
      <c r="B191" s="2"/>
      <c r="C191" s="3"/>
      <c r="D191" s="3"/>
      <c r="E191" s="3"/>
      <c r="F191" s="3"/>
      <c r="G191" s="3"/>
      <c r="H191" s="3"/>
      <c r="I191" s="3"/>
    </row>
    <row r="192" spans="1:9" x14ac:dyDescent="0.2">
      <c r="A192" s="2"/>
      <c r="B192" s="2"/>
      <c r="C192" s="3"/>
      <c r="D192" s="3"/>
      <c r="E192" s="3"/>
      <c r="F192" s="3"/>
      <c r="G192" s="3"/>
      <c r="H192" s="3"/>
      <c r="I192" s="3"/>
    </row>
    <row r="193" spans="1:9" x14ac:dyDescent="0.2">
      <c r="A193" s="2"/>
      <c r="B193" s="2"/>
      <c r="C193" s="3"/>
      <c r="D193" s="3"/>
      <c r="E193" s="3"/>
      <c r="F193" s="3"/>
      <c r="G193" s="3"/>
      <c r="H193" s="3"/>
      <c r="I193" s="3"/>
    </row>
    <row r="194" spans="1:9" x14ac:dyDescent="0.2">
      <c r="A194" s="2"/>
      <c r="B194" s="2"/>
      <c r="C194" s="3"/>
      <c r="D194" s="3"/>
      <c r="E194" s="3"/>
      <c r="F194" s="3"/>
      <c r="G194" s="3"/>
      <c r="H194" s="3"/>
      <c r="I194" s="3"/>
    </row>
    <row r="195" spans="1:9" x14ac:dyDescent="0.2">
      <c r="A195" s="2"/>
      <c r="B195" s="2"/>
      <c r="C195" s="3"/>
      <c r="D195" s="3"/>
      <c r="E195" s="3"/>
      <c r="F195" s="3"/>
      <c r="G195" s="3"/>
      <c r="H195" s="3"/>
      <c r="I195" s="3"/>
    </row>
    <row r="196" spans="1:9" x14ac:dyDescent="0.2">
      <c r="A196" s="2"/>
      <c r="B196" s="2"/>
      <c r="C196" s="3"/>
      <c r="D196" s="3"/>
      <c r="E196" s="3"/>
      <c r="F196" s="3"/>
      <c r="G196" s="3"/>
      <c r="H196" s="3"/>
      <c r="I196" s="3"/>
    </row>
    <row r="197" spans="1:9" x14ac:dyDescent="0.2">
      <c r="A197" s="2"/>
      <c r="B197" s="2"/>
      <c r="C197" s="3"/>
      <c r="D197" s="3"/>
      <c r="E197" s="3"/>
      <c r="F197" s="3"/>
      <c r="G197" s="3"/>
      <c r="H197" s="3"/>
      <c r="I197" s="3"/>
    </row>
    <row r="198" spans="1:9" x14ac:dyDescent="0.2">
      <c r="A198" s="2"/>
      <c r="B198" s="2"/>
      <c r="C198" s="3"/>
      <c r="D198" s="3"/>
      <c r="E198" s="3"/>
      <c r="F198" s="3"/>
      <c r="G198" s="3"/>
      <c r="H198" s="3"/>
      <c r="I198" s="3"/>
    </row>
    <row r="199" spans="1:9" x14ac:dyDescent="0.2">
      <c r="A199" s="2"/>
      <c r="B199" s="2"/>
      <c r="C199" s="3"/>
      <c r="D199" s="3"/>
      <c r="E199" s="3"/>
      <c r="F199" s="3"/>
      <c r="G199" s="3"/>
      <c r="H199" s="3"/>
      <c r="I199" s="3"/>
    </row>
    <row r="200" spans="1:9" x14ac:dyDescent="0.2">
      <c r="A200" s="2"/>
      <c r="B200" s="2"/>
      <c r="C200" s="3"/>
      <c r="D200" s="3"/>
      <c r="E200" s="3"/>
      <c r="F200" s="3"/>
      <c r="G200" s="3"/>
      <c r="H200" s="3"/>
      <c r="I200" s="3"/>
    </row>
    <row r="201" spans="1:9" x14ac:dyDescent="0.2">
      <c r="A201" s="2"/>
      <c r="B201" s="2"/>
      <c r="C201" s="3"/>
      <c r="D201" s="3"/>
      <c r="E201" s="3"/>
      <c r="F201" s="3"/>
      <c r="G201" s="3"/>
      <c r="H201" s="3"/>
      <c r="I201" s="3"/>
    </row>
  </sheetData>
  <sortState xmlns:xlrd2="http://schemas.microsoft.com/office/spreadsheetml/2017/richdata2" ref="J27:K65">
    <sortCondition descending="1" ref="K27:K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A5F7A-BDDC-4F44-9900-F5EBB40EE7BC}">
  <dimension ref="A1:S72"/>
  <sheetViews>
    <sheetView topLeftCell="A26" zoomScale="85" workbookViewId="0">
      <selection activeCell="G61" sqref="G61"/>
    </sheetView>
  </sheetViews>
  <sheetFormatPr baseColWidth="10" defaultRowHeight="16" x14ac:dyDescent="0.2"/>
  <cols>
    <col min="1" max="1" width="9.6640625" style="1" bestFit="1" customWidth="1"/>
    <col min="2" max="2" width="13.6640625" bestFit="1" customWidth="1"/>
    <col min="3" max="3" width="20.1640625" bestFit="1" customWidth="1"/>
    <col min="4" max="4" width="5.83203125" bestFit="1" customWidth="1"/>
    <col min="5" max="5" width="25.33203125" bestFit="1" customWidth="1"/>
    <col min="6" max="6" width="5.5" bestFit="1" customWidth="1"/>
    <col min="7" max="7" width="104.1640625" style="3" bestFit="1" customWidth="1"/>
    <col min="8" max="8" width="37.83203125" bestFit="1" customWidth="1"/>
    <col min="10" max="10" width="35.33203125" customWidth="1"/>
    <col min="12" max="12" width="12.5" bestFit="1" customWidth="1"/>
  </cols>
  <sheetData>
    <row r="1" spans="1:19" x14ac:dyDescent="0.2">
      <c r="A1" s="18" t="s">
        <v>0</v>
      </c>
      <c r="B1" s="19" t="s">
        <v>5</v>
      </c>
      <c r="C1" s="19" t="s">
        <v>1</v>
      </c>
      <c r="D1" s="19" t="s">
        <v>259</v>
      </c>
      <c r="E1" s="19" t="s">
        <v>71</v>
      </c>
      <c r="F1" s="19" t="s">
        <v>126</v>
      </c>
      <c r="G1" s="19" t="s">
        <v>3</v>
      </c>
      <c r="H1" s="19" t="s">
        <v>4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2">
      <c r="A2" s="14">
        <v>120</v>
      </c>
      <c r="B2" s="20" t="s">
        <v>12</v>
      </c>
      <c r="C2" s="20"/>
      <c r="D2" s="20"/>
      <c r="E2" s="20"/>
      <c r="F2" s="20"/>
      <c r="G2" s="20"/>
      <c r="H2" s="20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s="6">
        <v>121</v>
      </c>
      <c r="B3" s="7" t="s">
        <v>260</v>
      </c>
      <c r="C3" s="7" t="s">
        <v>7</v>
      </c>
      <c r="D3" s="7">
        <v>2007</v>
      </c>
      <c r="E3" s="7" t="s">
        <v>128</v>
      </c>
      <c r="F3" s="7" t="s">
        <v>127</v>
      </c>
      <c r="G3" s="7" t="s">
        <v>11</v>
      </c>
      <c r="H3" s="7" t="s">
        <v>97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">
      <c r="A4" s="6">
        <v>122</v>
      </c>
      <c r="B4" s="7" t="s">
        <v>261</v>
      </c>
      <c r="C4" s="7" t="s">
        <v>7</v>
      </c>
      <c r="D4" s="7">
        <v>2003</v>
      </c>
      <c r="E4" s="7" t="s">
        <v>128</v>
      </c>
      <c r="F4" s="7" t="s">
        <v>127</v>
      </c>
      <c r="G4" s="7" t="s">
        <v>11</v>
      </c>
      <c r="H4" s="7" t="s">
        <v>278</v>
      </c>
      <c r="I4" s="3"/>
      <c r="J4" s="7" t="s">
        <v>208</v>
      </c>
      <c r="K4" s="7" t="s">
        <v>7</v>
      </c>
      <c r="L4" s="7" t="s">
        <v>49</v>
      </c>
      <c r="M4" s="7" t="s">
        <v>136</v>
      </c>
      <c r="N4" s="7" t="s">
        <v>130</v>
      </c>
      <c r="O4" s="7" t="s">
        <v>167</v>
      </c>
      <c r="P4" s="7" t="s">
        <v>211</v>
      </c>
      <c r="Q4" s="3"/>
      <c r="R4" s="3"/>
      <c r="S4" s="3"/>
    </row>
    <row r="5" spans="1:19" x14ac:dyDescent="0.2">
      <c r="A5" s="6">
        <v>123</v>
      </c>
      <c r="B5" s="7" t="s">
        <v>262</v>
      </c>
      <c r="C5" s="7" t="s">
        <v>49</v>
      </c>
      <c r="D5" s="7">
        <v>2011</v>
      </c>
      <c r="E5" s="7" t="s">
        <v>128</v>
      </c>
      <c r="F5" s="7" t="s">
        <v>127</v>
      </c>
      <c r="G5" s="7" t="s">
        <v>11</v>
      </c>
      <c r="H5" s="7" t="s">
        <v>279</v>
      </c>
      <c r="I5" s="3"/>
      <c r="J5" s="7" t="s">
        <v>209</v>
      </c>
      <c r="K5" s="7">
        <f>COUNTIF(C2:C120, C3)</f>
        <v>27</v>
      </c>
      <c r="L5" s="7">
        <f>COUNTIF(C2:C120,C5)</f>
        <v>10</v>
      </c>
      <c r="M5" s="7">
        <f>COUNTIF(C2:C120,M4)</f>
        <v>3</v>
      </c>
      <c r="N5" s="7">
        <f>COUNTIF(C2:C120,N4)</f>
        <v>0</v>
      </c>
      <c r="O5" s="7">
        <f>COUNTIF(C2:C120,O4)</f>
        <v>0</v>
      </c>
      <c r="P5" s="7">
        <f>SUM(K5:O5)</f>
        <v>40</v>
      </c>
      <c r="Q5" s="3"/>
      <c r="R5" s="3"/>
      <c r="S5" s="3"/>
    </row>
    <row r="6" spans="1:19" x14ac:dyDescent="0.2">
      <c r="A6" s="6">
        <v>124</v>
      </c>
      <c r="B6" s="7" t="s">
        <v>262</v>
      </c>
      <c r="C6" s="7" t="s">
        <v>49</v>
      </c>
      <c r="D6" s="7">
        <v>2012</v>
      </c>
      <c r="E6" s="7" t="s">
        <v>128</v>
      </c>
      <c r="F6" s="7" t="s">
        <v>127</v>
      </c>
      <c r="G6" s="7" t="s">
        <v>11</v>
      </c>
      <c r="H6" s="7" t="s">
        <v>97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2">
      <c r="A7" s="6">
        <v>125</v>
      </c>
      <c r="B7" s="7" t="s">
        <v>263</v>
      </c>
      <c r="C7" s="7" t="s">
        <v>7</v>
      </c>
      <c r="D7" s="7">
        <v>2004</v>
      </c>
      <c r="E7" s="7" t="s">
        <v>128</v>
      </c>
      <c r="F7" s="7" t="s">
        <v>127</v>
      </c>
      <c r="G7" s="7" t="s">
        <v>11</v>
      </c>
      <c r="H7" s="7" t="s">
        <v>101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2">
      <c r="A8" s="6">
        <v>126</v>
      </c>
      <c r="B8" s="7" t="s">
        <v>27</v>
      </c>
      <c r="C8" s="7" t="s">
        <v>7</v>
      </c>
      <c r="D8" s="7">
        <v>1997</v>
      </c>
      <c r="E8" s="7" t="s">
        <v>128</v>
      </c>
      <c r="F8" s="7" t="s">
        <v>127</v>
      </c>
      <c r="G8" s="7" t="s">
        <v>11</v>
      </c>
      <c r="H8" s="7" t="s">
        <v>280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">
      <c r="A9" s="6">
        <v>127</v>
      </c>
      <c r="B9" s="7" t="s">
        <v>27</v>
      </c>
      <c r="C9" s="7" t="s">
        <v>7</v>
      </c>
      <c r="D9" s="7">
        <v>2000</v>
      </c>
      <c r="E9" s="7" t="s">
        <v>128</v>
      </c>
      <c r="F9" s="7" t="s">
        <v>127</v>
      </c>
      <c r="G9" s="7" t="s">
        <v>11</v>
      </c>
      <c r="H9" s="7" t="s">
        <v>8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2">
      <c r="A10" s="14">
        <v>128</v>
      </c>
      <c r="B10" s="20" t="s">
        <v>27</v>
      </c>
      <c r="C10" s="20"/>
      <c r="D10" s="20"/>
      <c r="E10" s="20"/>
      <c r="F10" s="20"/>
      <c r="G10" s="20"/>
      <c r="H10" s="20"/>
      <c r="I10" s="3"/>
      <c r="J10" s="7" t="s">
        <v>208</v>
      </c>
      <c r="K10" s="7" t="s">
        <v>7</v>
      </c>
      <c r="L10" s="7" t="s">
        <v>49</v>
      </c>
      <c r="M10" s="7" t="s">
        <v>136</v>
      </c>
      <c r="N10" s="7" t="s">
        <v>130</v>
      </c>
      <c r="O10" s="7" t="s">
        <v>167</v>
      </c>
      <c r="P10" s="7" t="s">
        <v>211</v>
      </c>
      <c r="Q10" s="3"/>
      <c r="R10" s="3"/>
      <c r="S10" s="3"/>
    </row>
    <row r="11" spans="1:19" x14ac:dyDescent="0.2">
      <c r="A11" s="14">
        <v>129</v>
      </c>
      <c r="B11" s="20" t="s">
        <v>27</v>
      </c>
      <c r="C11" s="20"/>
      <c r="D11" s="20"/>
      <c r="E11" s="20"/>
      <c r="F11" s="20"/>
      <c r="G11" s="20"/>
      <c r="H11" s="20"/>
      <c r="I11" s="3"/>
      <c r="J11" s="7" t="s">
        <v>210</v>
      </c>
      <c r="K11" s="7">
        <f>COUNTIFS(C2:C57,C3, F2:F57,F3)</f>
        <v>26</v>
      </c>
      <c r="L11" s="7">
        <f>COUNTIFS(C2:C57,L10, F2:F57,F3)</f>
        <v>10</v>
      </c>
      <c r="M11" s="7">
        <f>COUNTIFS(C2:C57,M10, F2:F57,F3)</f>
        <v>3</v>
      </c>
      <c r="N11" s="7">
        <f>COUNTIFS(C2:C57,N10, F2:F57,F3)</f>
        <v>0</v>
      </c>
      <c r="O11" s="7">
        <f>COUNTIF(C7:C125,O10)</f>
        <v>0</v>
      </c>
      <c r="P11" s="7">
        <f>SUM(K11:O11)</f>
        <v>39</v>
      </c>
      <c r="Q11" s="3"/>
      <c r="R11" s="3"/>
      <c r="S11" s="3"/>
    </row>
    <row r="12" spans="1:19" x14ac:dyDescent="0.2">
      <c r="A12" s="6">
        <v>130</v>
      </c>
      <c r="B12" s="7" t="s">
        <v>264</v>
      </c>
      <c r="C12" s="7" t="s">
        <v>136</v>
      </c>
      <c r="D12" s="7">
        <v>2007</v>
      </c>
      <c r="E12" s="7" t="s">
        <v>128</v>
      </c>
      <c r="F12" s="7" t="s">
        <v>127</v>
      </c>
      <c r="G12" s="7" t="s">
        <v>296</v>
      </c>
      <c r="H12" s="7" t="s">
        <v>281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2">
      <c r="A13" s="6">
        <v>131</v>
      </c>
      <c r="B13" s="7" t="s">
        <v>265</v>
      </c>
      <c r="C13" s="7" t="s">
        <v>49</v>
      </c>
      <c r="D13" s="7">
        <v>2006</v>
      </c>
      <c r="E13" s="7" t="s">
        <v>128</v>
      </c>
      <c r="F13" s="7" t="s">
        <v>127</v>
      </c>
      <c r="G13" s="7" t="s">
        <v>11</v>
      </c>
      <c r="H13" s="7" t="s">
        <v>282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2">
      <c r="A14" s="6">
        <v>132</v>
      </c>
      <c r="B14" s="7" t="s">
        <v>38</v>
      </c>
      <c r="C14" s="7" t="s">
        <v>49</v>
      </c>
      <c r="D14" s="7">
        <v>2010</v>
      </c>
      <c r="E14" s="7" t="s">
        <v>128</v>
      </c>
      <c r="F14" s="7" t="s">
        <v>127</v>
      </c>
      <c r="G14" s="7" t="s">
        <v>11</v>
      </c>
      <c r="H14" s="7" t="s">
        <v>283</v>
      </c>
      <c r="I14" s="3"/>
      <c r="J14" s="7" t="s">
        <v>208</v>
      </c>
      <c r="K14" s="7" t="s">
        <v>7</v>
      </c>
      <c r="L14" s="7" t="s">
        <v>49</v>
      </c>
      <c r="M14" s="7" t="s">
        <v>136</v>
      </c>
      <c r="N14" s="7" t="s">
        <v>130</v>
      </c>
      <c r="O14" s="7" t="s">
        <v>167</v>
      </c>
      <c r="P14" s="7" t="s">
        <v>211</v>
      </c>
      <c r="Q14" s="3"/>
      <c r="R14" s="3"/>
      <c r="S14" s="3"/>
    </row>
    <row r="15" spans="1:19" x14ac:dyDescent="0.2">
      <c r="A15" s="6">
        <v>133</v>
      </c>
      <c r="B15" s="7" t="s">
        <v>38</v>
      </c>
      <c r="C15" s="7" t="s">
        <v>49</v>
      </c>
      <c r="D15" s="7">
        <v>2007</v>
      </c>
      <c r="E15" s="7" t="s">
        <v>128</v>
      </c>
      <c r="F15" s="7" t="s">
        <v>127</v>
      </c>
      <c r="G15" s="7" t="s">
        <v>11</v>
      </c>
      <c r="H15" s="7" t="s">
        <v>284</v>
      </c>
      <c r="I15" s="3"/>
      <c r="J15" s="7" t="s">
        <v>213</v>
      </c>
      <c r="K15" s="7">
        <f>COUNTIFS(C2:C57,K14, F2:F57,F7, G2:G57, "&lt;&gt;N/A")</f>
        <v>6</v>
      </c>
      <c r="L15" s="7">
        <f>COUNTIFS(C2:C57,L14, F2:F57,F7, G2:G57, "&lt;&gt;N/A")</f>
        <v>4</v>
      </c>
      <c r="M15" s="7">
        <f>COUNTIFS(C2:C57,M14, F2:F57,F7, G2:G57, "&lt;&gt;N/A")</f>
        <v>1</v>
      </c>
      <c r="N15" s="7">
        <f>COUNTIFS(C2:C57,N14, F2:F57,F7, G2:G57, "&lt;&gt;N/A")</f>
        <v>0</v>
      </c>
      <c r="O15" s="7">
        <f>COUNTIF(C11:C129,O14)</f>
        <v>0</v>
      </c>
      <c r="P15" s="7">
        <f>SUM(K15:O15)</f>
        <v>11</v>
      </c>
      <c r="Q15" s="3"/>
      <c r="R15" s="3"/>
      <c r="S15" s="3"/>
    </row>
    <row r="16" spans="1:19" x14ac:dyDescent="0.2">
      <c r="A16" s="14">
        <v>134</v>
      </c>
      <c r="B16" s="20" t="s">
        <v>39</v>
      </c>
      <c r="C16" s="20"/>
      <c r="D16" s="20"/>
      <c r="E16" s="20"/>
      <c r="F16" s="20"/>
      <c r="G16" s="20"/>
      <c r="H16" s="20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2">
      <c r="A17" s="6">
        <v>135</v>
      </c>
      <c r="B17" s="7" t="s">
        <v>39</v>
      </c>
      <c r="C17" s="7" t="s">
        <v>7</v>
      </c>
      <c r="D17" s="7">
        <v>2012</v>
      </c>
      <c r="E17" s="7" t="s">
        <v>128</v>
      </c>
      <c r="F17" s="7" t="s">
        <v>127</v>
      </c>
      <c r="G17" s="7" t="s">
        <v>294</v>
      </c>
      <c r="H17" s="7" t="s">
        <v>97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2">
      <c r="A18" s="6">
        <v>136</v>
      </c>
      <c r="B18" s="7" t="s">
        <v>266</v>
      </c>
      <c r="C18" s="7" t="s">
        <v>7</v>
      </c>
      <c r="D18" s="7">
        <v>2012</v>
      </c>
      <c r="E18" s="7" t="s">
        <v>128</v>
      </c>
      <c r="F18" s="7" t="s">
        <v>127</v>
      </c>
      <c r="G18" s="7" t="s">
        <v>11</v>
      </c>
      <c r="H18" s="7" t="s">
        <v>103</v>
      </c>
      <c r="I18" s="3"/>
      <c r="J18" s="7" t="s">
        <v>214</v>
      </c>
      <c r="K18" s="7" t="s">
        <v>94</v>
      </c>
      <c r="L18" s="7" t="s">
        <v>282</v>
      </c>
      <c r="M18" s="7" t="s">
        <v>97</v>
      </c>
      <c r="N18" s="7" t="s">
        <v>278</v>
      </c>
      <c r="O18" s="7" t="s">
        <v>8</v>
      </c>
      <c r="P18" s="3"/>
      <c r="Q18" s="3"/>
      <c r="R18" s="3"/>
      <c r="S18" s="3"/>
    </row>
    <row r="19" spans="1:19" x14ac:dyDescent="0.2">
      <c r="A19" s="6">
        <v>137</v>
      </c>
      <c r="B19" s="7" t="s">
        <v>42</v>
      </c>
      <c r="C19" s="7" t="s">
        <v>49</v>
      </c>
      <c r="D19" s="7">
        <v>2010</v>
      </c>
      <c r="E19" s="7" t="s">
        <v>128</v>
      </c>
      <c r="F19" s="7" t="s">
        <v>127</v>
      </c>
      <c r="G19" s="7" t="s">
        <v>298</v>
      </c>
      <c r="H19" s="7" t="s">
        <v>282</v>
      </c>
      <c r="I19" s="3"/>
      <c r="J19" s="7" t="s">
        <v>209</v>
      </c>
      <c r="K19" s="7">
        <v>3</v>
      </c>
      <c r="L19" s="7">
        <v>5</v>
      </c>
      <c r="M19" s="7">
        <v>4</v>
      </c>
      <c r="N19" s="7">
        <v>3</v>
      </c>
      <c r="O19" s="7">
        <v>2</v>
      </c>
      <c r="P19" s="3"/>
      <c r="Q19" s="3"/>
      <c r="R19" s="3"/>
      <c r="S19" s="3"/>
    </row>
    <row r="20" spans="1:19" x14ac:dyDescent="0.2">
      <c r="A20" s="6">
        <v>138</v>
      </c>
      <c r="B20" s="7" t="s">
        <v>42</v>
      </c>
      <c r="C20" s="7" t="s">
        <v>49</v>
      </c>
      <c r="D20" s="7">
        <v>2010</v>
      </c>
      <c r="E20" s="7" t="s">
        <v>128</v>
      </c>
      <c r="F20" s="7" t="s">
        <v>127</v>
      </c>
      <c r="G20" s="7" t="s">
        <v>301</v>
      </c>
      <c r="H20" s="7" t="s">
        <v>285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2">
      <c r="A21" s="14">
        <v>139</v>
      </c>
      <c r="B21" s="20" t="s">
        <v>44</v>
      </c>
      <c r="C21" s="20"/>
      <c r="D21" s="20"/>
      <c r="E21" s="20"/>
      <c r="F21" s="20"/>
      <c r="G21" s="20"/>
      <c r="H21" s="20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2">
      <c r="A22" s="6">
        <v>140</v>
      </c>
      <c r="B22" s="7" t="s">
        <v>47</v>
      </c>
      <c r="C22" s="7" t="s">
        <v>7</v>
      </c>
      <c r="D22" s="7">
        <v>2012</v>
      </c>
      <c r="E22" s="7" t="s">
        <v>128</v>
      </c>
      <c r="F22" s="7" t="s">
        <v>128</v>
      </c>
      <c r="G22" s="7" t="s">
        <v>11</v>
      </c>
      <c r="H22" s="7" t="s">
        <v>47</v>
      </c>
      <c r="I22" s="3"/>
      <c r="J22" s="7" t="s">
        <v>304</v>
      </c>
      <c r="K22" s="7">
        <v>0</v>
      </c>
      <c r="L22" s="3"/>
      <c r="M22" s="3"/>
      <c r="N22" s="3"/>
      <c r="O22" s="3"/>
      <c r="P22" s="3"/>
      <c r="Q22" s="3"/>
      <c r="R22" s="3"/>
      <c r="S22" s="3"/>
    </row>
    <row r="23" spans="1:19" x14ac:dyDescent="0.2">
      <c r="A23" s="6">
        <v>141</v>
      </c>
      <c r="B23" s="7" t="s">
        <v>267</v>
      </c>
      <c r="C23" s="7" t="s">
        <v>136</v>
      </c>
      <c r="D23" s="7">
        <v>1986</v>
      </c>
      <c r="E23" s="7" t="s">
        <v>128</v>
      </c>
      <c r="F23" s="7" t="s">
        <v>127</v>
      </c>
      <c r="G23" s="7" t="s">
        <v>11</v>
      </c>
      <c r="H23" s="7" t="s">
        <v>8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2">
      <c r="A24" s="14">
        <v>142</v>
      </c>
      <c r="B24" s="20" t="s">
        <v>49</v>
      </c>
      <c r="C24" s="20"/>
      <c r="D24" s="20"/>
      <c r="E24" s="20"/>
      <c r="F24" s="20"/>
      <c r="G24" s="20"/>
      <c r="H24" s="20"/>
      <c r="I24" s="3"/>
      <c r="J24" s="7" t="s">
        <v>212</v>
      </c>
      <c r="K24" s="7">
        <f>AVERAGE(D3:D56)</f>
        <v>2006.3</v>
      </c>
      <c r="L24" s="3"/>
      <c r="M24" s="3"/>
      <c r="N24" s="3"/>
      <c r="O24" s="3"/>
      <c r="P24" s="3"/>
      <c r="Q24" s="3"/>
      <c r="R24" s="3"/>
      <c r="S24" s="3"/>
    </row>
    <row r="25" spans="1:19" x14ac:dyDescent="0.2">
      <c r="A25" s="14">
        <v>143</v>
      </c>
      <c r="B25" s="20" t="s">
        <v>53</v>
      </c>
      <c r="C25" s="20"/>
      <c r="D25" s="20"/>
      <c r="E25" s="20"/>
      <c r="F25" s="20"/>
      <c r="G25" s="20"/>
      <c r="H25" s="20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2">
      <c r="A26" s="14">
        <v>144</v>
      </c>
      <c r="B26" s="20" t="s">
        <v>6</v>
      </c>
      <c r="C26" s="20"/>
      <c r="D26" s="20"/>
      <c r="E26" s="20"/>
      <c r="F26" s="20"/>
      <c r="G26" s="20"/>
      <c r="H26" s="20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">
      <c r="A27" s="14">
        <v>145</v>
      </c>
      <c r="B27" s="20" t="s">
        <v>6</v>
      </c>
      <c r="C27" s="20"/>
      <c r="D27" s="20"/>
      <c r="E27" s="20"/>
      <c r="F27" s="20"/>
      <c r="G27" s="20"/>
      <c r="H27" s="20"/>
      <c r="I27" s="3"/>
      <c r="J27" s="5" t="s">
        <v>216</v>
      </c>
      <c r="K27" s="19" t="s">
        <v>254</v>
      </c>
      <c r="L27" s="3"/>
      <c r="M27" s="3"/>
      <c r="N27" s="3"/>
      <c r="O27" s="3"/>
      <c r="P27" s="3"/>
      <c r="Q27" s="3"/>
      <c r="R27" s="3"/>
      <c r="S27" s="3"/>
    </row>
    <row r="28" spans="1:19" x14ac:dyDescent="0.2">
      <c r="A28" s="6">
        <v>146</v>
      </c>
      <c r="B28" s="7" t="s">
        <v>6</v>
      </c>
      <c r="C28" s="7" t="s">
        <v>7</v>
      </c>
      <c r="D28" s="7">
        <v>2002</v>
      </c>
      <c r="E28" s="7" t="s">
        <v>128</v>
      </c>
      <c r="F28" s="7" t="s">
        <v>127</v>
      </c>
      <c r="G28" s="7" t="s">
        <v>11</v>
      </c>
      <c r="H28" s="7" t="s">
        <v>94</v>
      </c>
      <c r="I28" s="3"/>
      <c r="J28" s="7" t="s">
        <v>217</v>
      </c>
      <c r="K28" s="7">
        <v>4</v>
      </c>
      <c r="L28" s="3"/>
      <c r="M28" s="3"/>
      <c r="N28" s="3"/>
      <c r="O28" s="3"/>
      <c r="P28" s="3"/>
      <c r="Q28" s="3"/>
      <c r="R28" s="3"/>
      <c r="S28" s="3"/>
    </row>
    <row r="29" spans="1:19" x14ac:dyDescent="0.2">
      <c r="A29" s="6">
        <v>147</v>
      </c>
      <c r="B29" s="7" t="s">
        <v>268</v>
      </c>
      <c r="C29" s="7" t="s">
        <v>7</v>
      </c>
      <c r="D29" s="7">
        <v>2008</v>
      </c>
      <c r="E29" s="7" t="s">
        <v>128</v>
      </c>
      <c r="F29" s="7" t="s">
        <v>127</v>
      </c>
      <c r="G29" s="7" t="s">
        <v>11</v>
      </c>
      <c r="H29" s="7" t="s">
        <v>287</v>
      </c>
      <c r="I29" s="3"/>
      <c r="J29" s="7" t="s">
        <v>228</v>
      </c>
      <c r="K29" s="7">
        <v>4</v>
      </c>
      <c r="L29" s="3"/>
      <c r="M29" s="3"/>
      <c r="N29" s="3"/>
      <c r="O29" s="3"/>
      <c r="P29" s="3"/>
      <c r="Q29" s="3"/>
      <c r="R29" s="3"/>
      <c r="S29" s="3"/>
    </row>
    <row r="30" spans="1:19" x14ac:dyDescent="0.2">
      <c r="A30" s="6">
        <v>148</v>
      </c>
      <c r="B30" s="7" t="s">
        <v>269</v>
      </c>
      <c r="C30" s="7" t="s">
        <v>49</v>
      </c>
      <c r="D30" s="7">
        <v>2008</v>
      </c>
      <c r="E30" s="7" t="s">
        <v>128</v>
      </c>
      <c r="F30" s="7" t="s">
        <v>127</v>
      </c>
      <c r="G30" s="7" t="s">
        <v>11</v>
      </c>
      <c r="H30" s="7" t="s">
        <v>279</v>
      </c>
      <c r="I30" s="3"/>
      <c r="J30" s="7" t="s">
        <v>322</v>
      </c>
      <c r="K30" s="7">
        <v>2</v>
      </c>
      <c r="L30" s="3"/>
      <c r="M30" s="3"/>
      <c r="N30" s="3"/>
      <c r="O30" s="3"/>
      <c r="P30" s="3"/>
      <c r="Q30" s="3"/>
      <c r="R30" s="3"/>
      <c r="S30" s="3"/>
    </row>
    <row r="31" spans="1:19" x14ac:dyDescent="0.2">
      <c r="A31" s="6">
        <v>149</v>
      </c>
      <c r="B31" s="7" t="s">
        <v>270</v>
      </c>
      <c r="C31" s="7" t="s">
        <v>7</v>
      </c>
      <c r="D31" s="7">
        <v>2003</v>
      </c>
      <c r="E31" s="7" t="s">
        <v>128</v>
      </c>
      <c r="F31" s="7" t="s">
        <v>127</v>
      </c>
      <c r="G31" s="7" t="s">
        <v>11</v>
      </c>
      <c r="H31" s="7" t="s">
        <v>278</v>
      </c>
      <c r="I31" s="3"/>
      <c r="J31" s="7" t="s">
        <v>225</v>
      </c>
      <c r="K31" s="7">
        <v>1</v>
      </c>
      <c r="L31" s="3"/>
      <c r="M31" s="3"/>
      <c r="N31" s="3"/>
      <c r="O31" s="3"/>
      <c r="P31" s="3"/>
      <c r="Q31" s="3"/>
      <c r="R31" s="3"/>
      <c r="S31" s="3"/>
    </row>
    <row r="32" spans="1:19" x14ac:dyDescent="0.2">
      <c r="A32" s="6">
        <v>150</v>
      </c>
      <c r="B32" s="7" t="s">
        <v>57</v>
      </c>
      <c r="C32" s="7" t="s">
        <v>49</v>
      </c>
      <c r="D32" s="7">
        <v>2011</v>
      </c>
      <c r="E32" s="7" t="s">
        <v>128</v>
      </c>
      <c r="F32" s="7" t="s">
        <v>127</v>
      </c>
      <c r="G32" s="7" t="s">
        <v>293</v>
      </c>
      <c r="H32" s="7" t="s">
        <v>288</v>
      </c>
      <c r="I32" s="3"/>
      <c r="J32" s="7" t="s">
        <v>305</v>
      </c>
      <c r="K32" s="7">
        <v>1</v>
      </c>
      <c r="L32" s="3"/>
      <c r="M32" s="3"/>
      <c r="N32" s="3"/>
      <c r="O32" s="3"/>
      <c r="P32" s="3"/>
      <c r="Q32" s="3"/>
      <c r="R32" s="3"/>
      <c r="S32" s="3"/>
    </row>
    <row r="33" spans="1:19" x14ac:dyDescent="0.2">
      <c r="A33" s="14">
        <v>151</v>
      </c>
      <c r="B33" s="20" t="s">
        <v>57</v>
      </c>
      <c r="C33" s="20"/>
      <c r="D33" s="20"/>
      <c r="E33" s="20"/>
      <c r="F33" s="20"/>
      <c r="G33" s="20"/>
      <c r="H33" s="20"/>
      <c r="I33" s="3"/>
      <c r="J33" s="7" t="s">
        <v>306</v>
      </c>
      <c r="K33" s="7">
        <v>1</v>
      </c>
      <c r="L33" s="3"/>
      <c r="M33" s="3"/>
      <c r="N33" s="3"/>
      <c r="O33" s="3"/>
      <c r="P33" s="3"/>
      <c r="Q33" s="3"/>
      <c r="R33" s="3"/>
      <c r="S33" s="3"/>
    </row>
    <row r="34" spans="1:19" x14ac:dyDescent="0.2">
      <c r="A34" s="14">
        <v>152</v>
      </c>
      <c r="B34" s="20" t="s">
        <v>58</v>
      </c>
      <c r="C34" s="20"/>
      <c r="D34" s="20"/>
      <c r="E34" s="20"/>
      <c r="F34" s="20"/>
      <c r="G34" s="20"/>
      <c r="H34" s="20"/>
      <c r="I34" s="3"/>
      <c r="J34" s="7" t="s">
        <v>307</v>
      </c>
      <c r="K34" s="7">
        <v>1</v>
      </c>
      <c r="L34" s="3"/>
      <c r="M34" s="3"/>
      <c r="N34" s="3"/>
      <c r="O34" s="3"/>
      <c r="P34" s="3"/>
      <c r="Q34" s="3"/>
      <c r="R34" s="3"/>
      <c r="S34" s="3"/>
    </row>
    <row r="35" spans="1:19" x14ac:dyDescent="0.2">
      <c r="A35" s="14">
        <v>153</v>
      </c>
      <c r="B35" s="20" t="s">
        <v>58</v>
      </c>
      <c r="C35" s="20"/>
      <c r="D35" s="20"/>
      <c r="E35" s="20"/>
      <c r="F35" s="20"/>
      <c r="G35" s="20"/>
      <c r="H35" s="20"/>
      <c r="I35" s="3"/>
      <c r="J35" s="7" t="s">
        <v>308</v>
      </c>
      <c r="K35" s="7">
        <v>1</v>
      </c>
      <c r="L35" s="3"/>
      <c r="M35" s="3"/>
      <c r="N35" s="3"/>
      <c r="O35" s="3"/>
      <c r="P35" s="3"/>
      <c r="Q35" s="3"/>
      <c r="R35" s="3"/>
      <c r="S35" s="3"/>
    </row>
    <row r="36" spans="1:19" x14ac:dyDescent="0.2">
      <c r="A36" s="6">
        <v>154</v>
      </c>
      <c r="B36" s="7" t="s">
        <v>271</v>
      </c>
      <c r="C36" s="7" t="s">
        <v>7</v>
      </c>
      <c r="D36" s="7">
        <v>2010</v>
      </c>
      <c r="E36" s="7" t="s">
        <v>128</v>
      </c>
      <c r="F36" s="7" t="s">
        <v>127</v>
      </c>
      <c r="G36" s="7" t="s">
        <v>11</v>
      </c>
      <c r="H36" s="7" t="s">
        <v>286</v>
      </c>
      <c r="I36" s="3"/>
      <c r="J36" s="7" t="s">
        <v>309</v>
      </c>
      <c r="K36" s="7">
        <v>1</v>
      </c>
      <c r="L36" s="3"/>
      <c r="M36" s="3"/>
      <c r="N36" s="3"/>
      <c r="O36" s="3"/>
      <c r="P36" s="3"/>
      <c r="Q36" s="3"/>
      <c r="R36" s="3"/>
      <c r="S36" s="3"/>
    </row>
    <row r="37" spans="1:19" x14ac:dyDescent="0.2">
      <c r="A37" s="6">
        <v>155</v>
      </c>
      <c r="B37" s="7" t="s">
        <v>66</v>
      </c>
      <c r="C37" s="7" t="s">
        <v>49</v>
      </c>
      <c r="D37" s="7">
        <v>2009</v>
      </c>
      <c r="E37" s="7" t="s">
        <v>128</v>
      </c>
      <c r="F37" s="7" t="s">
        <v>127</v>
      </c>
      <c r="G37" s="7" t="s">
        <v>299</v>
      </c>
      <c r="H37" s="7" t="s">
        <v>282</v>
      </c>
      <c r="I37" s="3"/>
      <c r="J37" s="7" t="s">
        <v>310</v>
      </c>
      <c r="K37" s="7">
        <v>1</v>
      </c>
      <c r="L37" s="3"/>
      <c r="M37" s="3"/>
      <c r="N37" s="3"/>
      <c r="O37" s="3"/>
      <c r="P37" s="3"/>
      <c r="Q37" s="3"/>
      <c r="R37" s="3"/>
      <c r="S37" s="3"/>
    </row>
    <row r="38" spans="1:19" x14ac:dyDescent="0.2">
      <c r="A38" s="6">
        <v>156</v>
      </c>
      <c r="B38" s="7" t="s">
        <v>272</v>
      </c>
      <c r="C38" s="7" t="s">
        <v>7</v>
      </c>
      <c r="D38" s="7">
        <v>2010</v>
      </c>
      <c r="E38" s="7" t="s">
        <v>128</v>
      </c>
      <c r="F38" s="7" t="s">
        <v>127</v>
      </c>
      <c r="G38" s="7" t="s">
        <v>302</v>
      </c>
      <c r="H38" s="7" t="s">
        <v>289</v>
      </c>
      <c r="I38" s="3"/>
      <c r="J38" s="7" t="s">
        <v>311</v>
      </c>
      <c r="K38" s="7">
        <v>1</v>
      </c>
      <c r="L38" s="3"/>
      <c r="M38" s="3"/>
      <c r="N38" s="3"/>
      <c r="O38" s="3"/>
      <c r="P38" s="3"/>
      <c r="Q38" s="3"/>
      <c r="R38" s="3"/>
      <c r="S38" s="3"/>
    </row>
    <row r="39" spans="1:19" x14ac:dyDescent="0.2">
      <c r="A39" s="6">
        <v>157</v>
      </c>
      <c r="B39" s="7" t="s">
        <v>69</v>
      </c>
      <c r="C39" s="7" t="s">
        <v>7</v>
      </c>
      <c r="D39" s="7">
        <v>2005</v>
      </c>
      <c r="E39" s="7" t="s">
        <v>128</v>
      </c>
      <c r="F39" s="7" t="s">
        <v>127</v>
      </c>
      <c r="G39" s="7" t="s">
        <v>11</v>
      </c>
      <c r="H39" s="7" t="s">
        <v>94</v>
      </c>
      <c r="I39" s="3"/>
      <c r="J39" s="7" t="s">
        <v>312</v>
      </c>
      <c r="K39" s="7">
        <v>1</v>
      </c>
      <c r="L39" s="3"/>
      <c r="M39" s="3"/>
      <c r="N39" s="3"/>
      <c r="O39" s="3"/>
      <c r="P39" s="3"/>
      <c r="Q39" s="3"/>
      <c r="R39" s="3"/>
      <c r="S39" s="3"/>
    </row>
    <row r="40" spans="1:19" x14ac:dyDescent="0.2">
      <c r="A40" s="6">
        <v>158</v>
      </c>
      <c r="B40" s="7" t="s">
        <v>69</v>
      </c>
      <c r="C40" s="7" t="s">
        <v>7</v>
      </c>
      <c r="D40" s="7">
        <v>2011</v>
      </c>
      <c r="E40" s="7" t="s">
        <v>128</v>
      </c>
      <c r="F40" s="7" t="s">
        <v>127</v>
      </c>
      <c r="G40" s="7" t="s">
        <v>11</v>
      </c>
      <c r="H40" s="7" t="s">
        <v>287</v>
      </c>
      <c r="I40" s="3"/>
      <c r="J40" s="7" t="s">
        <v>313</v>
      </c>
      <c r="K40" s="7">
        <v>1</v>
      </c>
      <c r="L40" s="3"/>
      <c r="M40" s="3"/>
      <c r="N40" s="3"/>
      <c r="O40" s="3"/>
      <c r="P40" s="3"/>
      <c r="Q40" s="3"/>
      <c r="R40" s="3"/>
      <c r="S40" s="3"/>
    </row>
    <row r="41" spans="1:19" x14ac:dyDescent="0.2">
      <c r="A41" s="6">
        <v>159</v>
      </c>
      <c r="B41" s="7" t="s">
        <v>273</v>
      </c>
      <c r="C41" s="7" t="s">
        <v>7</v>
      </c>
      <c r="D41" s="7">
        <v>1998</v>
      </c>
      <c r="E41" s="7" t="s">
        <v>128</v>
      </c>
      <c r="F41" s="7" t="s">
        <v>127</v>
      </c>
      <c r="G41" s="7" t="s">
        <v>11</v>
      </c>
      <c r="H41" s="7" t="s">
        <v>280</v>
      </c>
      <c r="I41" s="3"/>
      <c r="J41" s="7" t="s">
        <v>314</v>
      </c>
      <c r="K41" s="7">
        <v>1</v>
      </c>
      <c r="L41" s="3"/>
      <c r="M41" s="3"/>
      <c r="N41" s="3"/>
      <c r="O41" s="3"/>
      <c r="P41" s="3"/>
      <c r="Q41" s="3"/>
      <c r="R41" s="3"/>
      <c r="S41" s="3"/>
    </row>
    <row r="42" spans="1:19" x14ac:dyDescent="0.2">
      <c r="A42" s="6">
        <v>160</v>
      </c>
      <c r="B42" s="7" t="s">
        <v>273</v>
      </c>
      <c r="C42" s="8" t="s">
        <v>7</v>
      </c>
      <c r="D42" s="7">
        <v>2012</v>
      </c>
      <c r="E42" s="7" t="s">
        <v>128</v>
      </c>
      <c r="F42" s="7" t="s">
        <v>127</v>
      </c>
      <c r="G42" s="7" t="s">
        <v>300</v>
      </c>
      <c r="H42" s="7" t="s">
        <v>290</v>
      </c>
      <c r="I42" s="3"/>
      <c r="J42" s="7" t="s">
        <v>315</v>
      </c>
      <c r="K42" s="7">
        <v>1</v>
      </c>
      <c r="L42" s="3"/>
      <c r="M42" s="3"/>
      <c r="N42" s="3"/>
      <c r="O42" s="3"/>
      <c r="P42" s="3"/>
      <c r="Q42" s="3"/>
      <c r="R42" s="3"/>
      <c r="S42" s="3"/>
    </row>
    <row r="43" spans="1:19" x14ac:dyDescent="0.2">
      <c r="A43" s="6">
        <v>161</v>
      </c>
      <c r="B43" s="7" t="s">
        <v>273</v>
      </c>
      <c r="C43" s="7" t="s">
        <v>7</v>
      </c>
      <c r="D43" s="7">
        <v>2006</v>
      </c>
      <c r="E43" s="7" t="s">
        <v>128</v>
      </c>
      <c r="F43" s="7" t="s">
        <v>127</v>
      </c>
      <c r="G43" s="7" t="s">
        <v>295</v>
      </c>
      <c r="H43" s="7" t="s">
        <v>97</v>
      </c>
      <c r="I43" s="3"/>
      <c r="J43" s="7" t="s">
        <v>222</v>
      </c>
      <c r="K43" s="7">
        <v>1</v>
      </c>
      <c r="L43" s="3"/>
      <c r="M43" s="3"/>
      <c r="N43" s="3"/>
      <c r="O43" s="3"/>
      <c r="P43" s="3"/>
      <c r="Q43" s="3"/>
      <c r="R43" s="3"/>
      <c r="S43" s="3"/>
    </row>
    <row r="44" spans="1:19" x14ac:dyDescent="0.2">
      <c r="A44" s="6">
        <v>162</v>
      </c>
      <c r="B44" s="7" t="s">
        <v>273</v>
      </c>
      <c r="C44" s="7" t="s">
        <v>7</v>
      </c>
      <c r="D44" s="7">
        <v>2011</v>
      </c>
      <c r="E44" s="7" t="s">
        <v>128</v>
      </c>
      <c r="F44" s="7" t="s">
        <v>127</v>
      </c>
      <c r="G44" s="7" t="s">
        <v>11</v>
      </c>
      <c r="H44" s="7" t="s">
        <v>94</v>
      </c>
      <c r="I44" s="3"/>
      <c r="J44" s="7" t="s">
        <v>316</v>
      </c>
      <c r="K44" s="7">
        <v>1</v>
      </c>
      <c r="L44" s="3"/>
      <c r="M44" s="3"/>
      <c r="N44" s="3"/>
      <c r="O44" s="3"/>
      <c r="P44" s="3"/>
      <c r="Q44" s="3"/>
      <c r="R44" s="3"/>
      <c r="S44" s="3"/>
    </row>
    <row r="45" spans="1:19" x14ac:dyDescent="0.2">
      <c r="A45" s="6">
        <v>163</v>
      </c>
      <c r="B45" s="7" t="s">
        <v>273</v>
      </c>
      <c r="C45" s="7" t="s">
        <v>7</v>
      </c>
      <c r="D45" s="7">
        <v>2009</v>
      </c>
      <c r="E45" s="7" t="s">
        <v>128</v>
      </c>
      <c r="F45" s="7" t="s">
        <v>127</v>
      </c>
      <c r="G45" s="7" t="s">
        <v>11</v>
      </c>
      <c r="H45" s="7" t="s">
        <v>282</v>
      </c>
      <c r="I45" s="3"/>
      <c r="J45" s="7" t="s">
        <v>317</v>
      </c>
      <c r="K45" s="7">
        <v>1</v>
      </c>
      <c r="L45" s="3"/>
      <c r="M45" s="3"/>
      <c r="N45" s="3"/>
      <c r="O45" s="3"/>
      <c r="P45" s="3"/>
      <c r="Q45" s="3"/>
      <c r="R45" s="3"/>
      <c r="S45" s="3"/>
    </row>
    <row r="46" spans="1:19" x14ac:dyDescent="0.2">
      <c r="A46" s="14">
        <v>164</v>
      </c>
      <c r="B46" s="20" t="s">
        <v>70</v>
      </c>
      <c r="C46" s="20"/>
      <c r="D46" s="20"/>
      <c r="E46" s="20"/>
      <c r="F46" s="20"/>
      <c r="G46" s="20"/>
      <c r="H46" s="20"/>
      <c r="I46" s="3"/>
      <c r="J46" s="7" t="s">
        <v>318</v>
      </c>
      <c r="K46" s="7">
        <v>1</v>
      </c>
      <c r="L46" s="3"/>
      <c r="M46" s="3"/>
      <c r="N46" s="3"/>
      <c r="O46" s="3"/>
      <c r="P46" s="3"/>
      <c r="Q46" s="3"/>
      <c r="R46" s="3"/>
      <c r="S46" s="3"/>
    </row>
    <row r="47" spans="1:19" x14ac:dyDescent="0.2">
      <c r="A47" s="6">
        <v>165</v>
      </c>
      <c r="B47" s="7" t="s">
        <v>72</v>
      </c>
      <c r="C47" s="7" t="s">
        <v>7</v>
      </c>
      <c r="D47" s="7">
        <v>2007</v>
      </c>
      <c r="E47" s="7" t="s">
        <v>128</v>
      </c>
      <c r="F47" s="7" t="s">
        <v>127</v>
      </c>
      <c r="G47" s="7" t="s">
        <v>297</v>
      </c>
      <c r="H47" s="7" t="s">
        <v>291</v>
      </c>
      <c r="I47" s="3"/>
      <c r="J47" s="7" t="s">
        <v>319</v>
      </c>
      <c r="K47" s="7">
        <v>1</v>
      </c>
      <c r="L47" s="3"/>
      <c r="M47" s="3"/>
      <c r="N47" s="3"/>
      <c r="O47" s="3"/>
      <c r="P47" s="3"/>
      <c r="Q47" s="3"/>
      <c r="R47" s="3"/>
      <c r="S47" s="3"/>
    </row>
    <row r="48" spans="1:19" x14ac:dyDescent="0.2">
      <c r="A48" s="6">
        <v>166</v>
      </c>
      <c r="B48" s="7" t="s">
        <v>72</v>
      </c>
      <c r="C48" s="7" t="s">
        <v>7</v>
      </c>
      <c r="D48" s="7">
        <v>2012</v>
      </c>
      <c r="E48" s="7" t="s">
        <v>128</v>
      </c>
      <c r="F48" s="7" t="s">
        <v>127</v>
      </c>
      <c r="G48" s="7" t="s">
        <v>11</v>
      </c>
      <c r="H48" s="7" t="s">
        <v>292</v>
      </c>
      <c r="I48" s="3"/>
      <c r="J48" s="7" t="s">
        <v>320</v>
      </c>
      <c r="K48" s="7">
        <v>1</v>
      </c>
      <c r="L48" s="3"/>
      <c r="M48" s="3"/>
      <c r="N48" s="3"/>
      <c r="O48" s="3"/>
      <c r="P48" s="3"/>
      <c r="Q48" s="3"/>
      <c r="R48" s="3"/>
      <c r="S48" s="3"/>
    </row>
    <row r="49" spans="1:19" x14ac:dyDescent="0.2">
      <c r="A49" s="6">
        <v>167</v>
      </c>
      <c r="B49" s="7" t="s">
        <v>75</v>
      </c>
      <c r="C49" s="7" t="s">
        <v>7</v>
      </c>
      <c r="D49" s="7">
        <v>2003</v>
      </c>
      <c r="E49" s="7" t="s">
        <v>128</v>
      </c>
      <c r="F49" s="7" t="s">
        <v>127</v>
      </c>
      <c r="G49" s="7" t="s">
        <v>11</v>
      </c>
      <c r="H49" s="7" t="s">
        <v>97</v>
      </c>
      <c r="I49" s="3"/>
      <c r="J49" s="7" t="s">
        <v>321</v>
      </c>
      <c r="K49" s="7">
        <v>1</v>
      </c>
      <c r="L49" s="3"/>
      <c r="M49" s="3"/>
      <c r="N49" s="3"/>
      <c r="O49" s="3"/>
      <c r="P49" s="3"/>
      <c r="Q49" s="3"/>
      <c r="R49" s="3"/>
      <c r="S49" s="3"/>
    </row>
    <row r="50" spans="1:19" x14ac:dyDescent="0.2">
      <c r="A50" s="14">
        <v>168</v>
      </c>
      <c r="B50" s="20" t="s">
        <v>81</v>
      </c>
      <c r="C50" s="20"/>
      <c r="D50" s="20"/>
      <c r="E50" s="20"/>
      <c r="F50" s="20"/>
      <c r="G50" s="20"/>
      <c r="H50" s="20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x14ac:dyDescent="0.2">
      <c r="A51" s="6">
        <v>169</v>
      </c>
      <c r="B51" s="7" t="s">
        <v>274</v>
      </c>
      <c r="C51" s="7" t="s">
        <v>7</v>
      </c>
      <c r="D51" s="7">
        <v>2003</v>
      </c>
      <c r="E51" s="7" t="s">
        <v>128</v>
      </c>
      <c r="F51" s="7" t="s">
        <v>127</v>
      </c>
      <c r="G51" s="7" t="s">
        <v>11</v>
      </c>
      <c r="H51" s="7" t="s">
        <v>278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x14ac:dyDescent="0.2">
      <c r="A52" s="6">
        <v>170</v>
      </c>
      <c r="B52" s="7" t="s">
        <v>84</v>
      </c>
      <c r="C52" s="7" t="s">
        <v>7</v>
      </c>
      <c r="D52" s="7">
        <v>2009</v>
      </c>
      <c r="E52" s="7" t="s">
        <v>128</v>
      </c>
      <c r="F52" s="7" t="s">
        <v>127</v>
      </c>
      <c r="G52" s="7" t="s">
        <v>303</v>
      </c>
      <c r="H52" s="7" t="s">
        <v>291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x14ac:dyDescent="0.2">
      <c r="A53" s="14">
        <v>171</v>
      </c>
      <c r="B53" s="20" t="s">
        <v>84</v>
      </c>
      <c r="C53" s="20"/>
      <c r="D53" s="20"/>
      <c r="E53" s="20"/>
      <c r="F53" s="20"/>
      <c r="G53" s="20"/>
      <c r="H53" s="20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x14ac:dyDescent="0.2">
      <c r="A54" s="6">
        <v>172</v>
      </c>
      <c r="B54" s="7" t="s">
        <v>275</v>
      </c>
      <c r="C54" s="7" t="s">
        <v>136</v>
      </c>
      <c r="D54" s="7">
        <v>1999</v>
      </c>
      <c r="E54" s="7" t="s">
        <v>128</v>
      </c>
      <c r="F54" s="7" t="s">
        <v>127</v>
      </c>
      <c r="G54" s="7" t="s">
        <v>11</v>
      </c>
      <c r="H54" s="7" t="s">
        <v>281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x14ac:dyDescent="0.2">
      <c r="A55" s="6">
        <v>173</v>
      </c>
      <c r="B55" s="7" t="s">
        <v>276</v>
      </c>
      <c r="C55" s="7" t="s">
        <v>7</v>
      </c>
      <c r="D55" s="7">
        <v>1992</v>
      </c>
      <c r="E55" s="7" t="s">
        <v>128</v>
      </c>
      <c r="F55" s="7" t="s">
        <v>127</v>
      </c>
      <c r="G55" s="7" t="s">
        <v>11</v>
      </c>
      <c r="H55" s="7" t="s">
        <v>291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x14ac:dyDescent="0.2">
      <c r="A56" s="6">
        <v>174</v>
      </c>
      <c r="B56" s="7" t="s">
        <v>277</v>
      </c>
      <c r="C56" s="7" t="s">
        <v>7</v>
      </c>
      <c r="D56" s="7">
        <v>2008</v>
      </c>
      <c r="E56" s="7" t="s">
        <v>128</v>
      </c>
      <c r="F56" s="7" t="s">
        <v>127</v>
      </c>
      <c r="G56" s="7" t="s">
        <v>11</v>
      </c>
      <c r="H56" s="7" t="s">
        <v>282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 x14ac:dyDescent="0.2">
      <c r="A57" s="14">
        <v>175</v>
      </c>
      <c r="B57" s="20" t="s">
        <v>93</v>
      </c>
      <c r="C57" s="20"/>
      <c r="D57" s="20"/>
      <c r="E57" s="20"/>
      <c r="F57" s="20"/>
      <c r="G57" s="20"/>
      <c r="H57" s="20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x14ac:dyDescent="0.2">
      <c r="A58" s="2"/>
      <c r="B58" s="3"/>
      <c r="C58" s="3"/>
      <c r="D58" s="3"/>
      <c r="E58" s="3"/>
      <c r="F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 x14ac:dyDescent="0.2">
      <c r="A59" s="2"/>
      <c r="B59" s="3"/>
      <c r="C59" s="3"/>
      <c r="D59" s="3"/>
      <c r="E59" s="3"/>
      <c r="F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 x14ac:dyDescent="0.2">
      <c r="A60" s="2"/>
      <c r="B60" s="3"/>
      <c r="C60" s="3"/>
      <c r="D60" s="3"/>
      <c r="E60" s="3"/>
      <c r="F60" s="3"/>
      <c r="G60" s="3">
        <f>COUNTIF(G2:G57, "N/A")</f>
        <v>29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x14ac:dyDescent="0.2">
      <c r="A61" s="2"/>
      <c r="B61" s="3"/>
      <c r="C61" s="3"/>
      <c r="D61" s="3"/>
      <c r="E61" s="3"/>
      <c r="F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x14ac:dyDescent="0.2">
      <c r="A62" s="2"/>
      <c r="B62" s="3"/>
      <c r="C62" s="3"/>
      <c r="D62" s="3"/>
      <c r="E62" s="3"/>
      <c r="F62" s="3"/>
      <c r="H62" s="3"/>
      <c r="I62" s="3"/>
      <c r="J62" s="3"/>
    </row>
    <row r="63" spans="1:19" x14ac:dyDescent="0.2">
      <c r="A63" s="2"/>
      <c r="B63" s="3"/>
      <c r="C63" s="3"/>
      <c r="D63" s="3"/>
      <c r="E63" s="3"/>
      <c r="F63" s="3"/>
      <c r="H63" s="3"/>
      <c r="I63" s="3"/>
      <c r="J63" s="3"/>
    </row>
    <row r="64" spans="1:19" x14ac:dyDescent="0.2">
      <c r="A64" s="2"/>
      <c r="B64" s="3"/>
      <c r="C64" s="3"/>
      <c r="D64" s="3"/>
      <c r="E64" s="3"/>
      <c r="F64" s="3"/>
      <c r="H64" s="3"/>
      <c r="I64" s="3"/>
      <c r="J64" s="3"/>
    </row>
    <row r="65" spans="1:10" x14ac:dyDescent="0.2">
      <c r="A65" s="2"/>
      <c r="B65" s="3"/>
      <c r="C65" s="3"/>
      <c r="D65" s="3"/>
      <c r="E65" s="3"/>
      <c r="F65" s="3"/>
      <c r="H65" s="3"/>
      <c r="I65" s="3"/>
      <c r="J65" s="3"/>
    </row>
    <row r="66" spans="1:10" x14ac:dyDescent="0.2">
      <c r="A66" s="2"/>
      <c r="B66" s="3"/>
      <c r="C66" s="3"/>
      <c r="D66" s="3"/>
      <c r="E66" s="3"/>
      <c r="F66" s="3"/>
      <c r="H66" s="3"/>
      <c r="I66" s="3"/>
      <c r="J66" s="3"/>
    </row>
    <row r="67" spans="1:10" x14ac:dyDescent="0.2">
      <c r="A67" s="2"/>
      <c r="B67" s="3"/>
      <c r="C67" s="3"/>
      <c r="D67" s="3"/>
      <c r="E67" s="3"/>
      <c r="F67" s="3"/>
      <c r="H67" s="3"/>
      <c r="I67" s="3"/>
      <c r="J67" s="3"/>
    </row>
    <row r="68" spans="1:10" x14ac:dyDescent="0.2">
      <c r="A68" s="2"/>
      <c r="B68" s="3"/>
      <c r="C68" s="3"/>
      <c r="D68" s="3"/>
      <c r="E68" s="3"/>
      <c r="F68" s="3"/>
      <c r="H68" s="3"/>
      <c r="I68" s="3"/>
      <c r="J68" s="3"/>
    </row>
    <row r="69" spans="1:10" x14ac:dyDescent="0.2">
      <c r="A69" s="2"/>
      <c r="B69" s="3"/>
      <c r="C69" s="3"/>
      <c r="D69" s="3"/>
      <c r="E69" s="3"/>
      <c r="F69" s="3"/>
      <c r="H69" s="3"/>
      <c r="I69" s="3"/>
      <c r="J69" s="3"/>
    </row>
    <row r="70" spans="1:10" x14ac:dyDescent="0.2">
      <c r="A70" s="2"/>
      <c r="B70" s="3"/>
      <c r="C70" s="3"/>
      <c r="D70" s="3"/>
      <c r="E70" s="3"/>
      <c r="F70" s="3"/>
      <c r="H70" s="3"/>
      <c r="I70" s="3"/>
      <c r="J70" s="3"/>
    </row>
    <row r="71" spans="1:10" x14ac:dyDescent="0.2">
      <c r="A71" s="2"/>
      <c r="B71" s="3"/>
      <c r="C71" s="3"/>
      <c r="D71" s="3"/>
      <c r="E71" s="3"/>
      <c r="F71" s="3"/>
      <c r="H71" s="3"/>
      <c r="I71" s="3"/>
      <c r="J71" s="3"/>
    </row>
    <row r="72" spans="1:10" x14ac:dyDescent="0.2">
      <c r="A72" s="2"/>
      <c r="B72" s="3"/>
      <c r="C72" s="3"/>
      <c r="D72" s="3"/>
      <c r="E72" s="3"/>
      <c r="F72" s="3"/>
      <c r="H72" s="3"/>
      <c r="I72" s="3"/>
      <c r="J72" s="3"/>
    </row>
  </sheetData>
  <sortState xmlns:xlrd2="http://schemas.microsoft.com/office/spreadsheetml/2017/richdata2" ref="J28:K49">
    <sortCondition descending="1" ref="K28:K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529E-E747-A844-B899-1B11C7455960}">
  <dimension ref="A1:U191"/>
  <sheetViews>
    <sheetView zoomScale="69" workbookViewId="0">
      <selection activeCell="G70" sqref="G70"/>
    </sheetView>
  </sheetViews>
  <sheetFormatPr baseColWidth="10" defaultRowHeight="16" x14ac:dyDescent="0.2"/>
  <cols>
    <col min="1" max="1" width="9.83203125" style="1" bestFit="1" customWidth="1"/>
    <col min="2" max="2" width="16.1640625" style="1" bestFit="1" customWidth="1"/>
    <col min="3" max="3" width="20.1640625" bestFit="1" customWidth="1"/>
    <col min="4" max="4" width="5.5" bestFit="1" customWidth="1"/>
    <col min="5" max="5" width="25.1640625" bestFit="1" customWidth="1"/>
    <col min="6" max="6" width="5.33203125" bestFit="1" customWidth="1"/>
    <col min="7" max="7" width="140.5" bestFit="1" customWidth="1"/>
    <col min="8" max="8" width="58.33203125" bestFit="1" customWidth="1"/>
    <col min="9" max="9" width="23.6640625" customWidth="1"/>
    <col min="10" max="10" width="34" bestFit="1" customWidth="1"/>
    <col min="16" max="16" width="11.6640625" bestFit="1" customWidth="1"/>
  </cols>
  <sheetData>
    <row r="1" spans="1:21" x14ac:dyDescent="0.2">
      <c r="A1" s="4" t="s">
        <v>0</v>
      </c>
      <c r="B1" s="4" t="s">
        <v>5</v>
      </c>
      <c r="C1" s="5" t="s">
        <v>1</v>
      </c>
      <c r="D1" s="5" t="s">
        <v>2</v>
      </c>
      <c r="E1" s="5" t="s">
        <v>71</v>
      </c>
      <c r="F1" s="5" t="s">
        <v>126</v>
      </c>
      <c r="G1" s="5" t="s">
        <v>3</v>
      </c>
      <c r="H1" s="5" t="s">
        <v>4</v>
      </c>
      <c r="I1" s="11"/>
      <c r="J1" s="11"/>
      <c r="K1" s="3"/>
      <c r="L1" s="3"/>
      <c r="M1" s="3"/>
      <c r="N1" s="3"/>
      <c r="O1" s="3"/>
      <c r="P1" s="3"/>
    </row>
    <row r="2" spans="1:21" x14ac:dyDescent="0.2">
      <c r="A2" s="14">
        <v>176</v>
      </c>
      <c r="B2" s="14" t="s">
        <v>13</v>
      </c>
      <c r="C2" s="20"/>
      <c r="D2" s="20"/>
      <c r="E2" s="20"/>
      <c r="F2" s="20"/>
      <c r="G2" s="20"/>
      <c r="H2" s="20"/>
      <c r="I2" s="3"/>
      <c r="J2" s="3"/>
      <c r="K2" s="3"/>
      <c r="L2" s="3"/>
      <c r="M2" s="3"/>
      <c r="N2" s="3"/>
      <c r="O2" s="3"/>
      <c r="P2" s="3"/>
    </row>
    <row r="3" spans="1:21" x14ac:dyDescent="0.2">
      <c r="A3" s="27">
        <v>177</v>
      </c>
      <c r="B3" s="27" t="s">
        <v>374</v>
      </c>
      <c r="C3" s="28" t="s">
        <v>167</v>
      </c>
      <c r="D3" s="28">
        <v>2015</v>
      </c>
      <c r="E3" s="28" t="s">
        <v>128</v>
      </c>
      <c r="F3" s="28" t="s">
        <v>127</v>
      </c>
      <c r="G3" s="28" t="s">
        <v>11</v>
      </c>
      <c r="H3" s="28" t="s">
        <v>436</v>
      </c>
      <c r="I3" s="3"/>
      <c r="J3" s="3"/>
      <c r="K3" s="3"/>
      <c r="L3" s="3"/>
      <c r="M3" s="3"/>
      <c r="N3" s="3"/>
      <c r="O3" s="3"/>
      <c r="P3" s="3"/>
    </row>
    <row r="4" spans="1:21" x14ac:dyDescent="0.2">
      <c r="A4" s="27">
        <v>178</v>
      </c>
      <c r="B4" s="27" t="s">
        <v>375</v>
      </c>
      <c r="C4" s="28" t="s">
        <v>404</v>
      </c>
      <c r="D4" s="28">
        <v>2016</v>
      </c>
      <c r="E4" s="28" t="s">
        <v>128</v>
      </c>
      <c r="F4" s="28" t="s">
        <v>127</v>
      </c>
      <c r="G4" s="28" t="s">
        <v>405</v>
      </c>
      <c r="H4" s="28" t="s">
        <v>437</v>
      </c>
      <c r="I4" s="3"/>
      <c r="J4" s="7" t="s">
        <v>208</v>
      </c>
      <c r="K4" s="7" t="s">
        <v>7</v>
      </c>
      <c r="L4" s="7" t="s">
        <v>49</v>
      </c>
      <c r="M4" s="7" t="s">
        <v>136</v>
      </c>
      <c r="N4" s="7" t="s">
        <v>130</v>
      </c>
      <c r="O4" s="7" t="s">
        <v>167</v>
      </c>
      <c r="P4" s="7" t="s">
        <v>160</v>
      </c>
      <c r="Q4" s="7" t="s">
        <v>404</v>
      </c>
      <c r="R4" s="7" t="s">
        <v>411</v>
      </c>
      <c r="S4" s="7" t="s">
        <v>417</v>
      </c>
      <c r="T4" s="7" t="s">
        <v>427</v>
      </c>
      <c r="U4" s="7" t="s">
        <v>211</v>
      </c>
    </row>
    <row r="5" spans="1:21" x14ac:dyDescent="0.2">
      <c r="A5" s="27">
        <v>179</v>
      </c>
      <c r="B5" s="27" t="s">
        <v>376</v>
      </c>
      <c r="C5" s="28" t="s">
        <v>167</v>
      </c>
      <c r="D5" s="28">
        <v>1993</v>
      </c>
      <c r="E5" s="28" t="s">
        <v>128</v>
      </c>
      <c r="F5" s="28" t="s">
        <v>128</v>
      </c>
      <c r="G5" s="28" t="s">
        <v>11</v>
      </c>
      <c r="H5" s="28" t="s">
        <v>438</v>
      </c>
      <c r="I5" s="3"/>
      <c r="J5" s="7" t="s">
        <v>209</v>
      </c>
      <c r="K5" s="7">
        <f>COUNTIF(C2:C66, K4)</f>
        <v>4</v>
      </c>
      <c r="L5" s="7">
        <f>COUNTIF(C2:C120,L4)</f>
        <v>8</v>
      </c>
      <c r="M5" s="7">
        <f>COUNTIF(C2:C120,M4)</f>
        <v>4</v>
      </c>
      <c r="N5" s="7">
        <f>COUNTIF(C2:C120,N4)</f>
        <v>4</v>
      </c>
      <c r="O5" s="7">
        <f>COUNTIF(C2:C120,O4)</f>
        <v>15</v>
      </c>
      <c r="P5" s="7">
        <f>COUNTIF(C2:C120,P4)</f>
        <v>2</v>
      </c>
      <c r="Q5" s="17">
        <f>COUNTIF(C2:C120,Q4)</f>
        <v>3</v>
      </c>
      <c r="R5" s="17">
        <f>COUNTIF(C2:C120,R4)</f>
        <v>1</v>
      </c>
      <c r="S5" s="17">
        <f>COUNTIF(C2:C120,S4)</f>
        <v>1</v>
      </c>
      <c r="T5" s="17">
        <f>COUNTIF(C2:C120,T4)</f>
        <v>1</v>
      </c>
      <c r="U5" s="7">
        <f>SUM(K5:T5)</f>
        <v>43</v>
      </c>
    </row>
    <row r="6" spans="1:21" x14ac:dyDescent="0.2">
      <c r="A6" s="27">
        <v>180</v>
      </c>
      <c r="B6" s="27" t="s">
        <v>377</v>
      </c>
      <c r="C6" s="28" t="s">
        <v>160</v>
      </c>
      <c r="D6" s="28">
        <v>2006</v>
      </c>
      <c r="E6" s="28" t="s">
        <v>127</v>
      </c>
      <c r="F6" s="28" t="s">
        <v>128</v>
      </c>
      <c r="G6" s="28" t="s">
        <v>11</v>
      </c>
      <c r="H6" s="28" t="s">
        <v>11</v>
      </c>
      <c r="I6" s="3"/>
      <c r="J6" s="3"/>
      <c r="K6" s="3"/>
      <c r="L6" s="3"/>
      <c r="M6" s="3"/>
      <c r="N6" s="3"/>
      <c r="O6" s="3"/>
      <c r="P6" s="3"/>
      <c r="R6" s="3"/>
    </row>
    <row r="7" spans="1:21" x14ac:dyDescent="0.2">
      <c r="A7" s="27">
        <v>181</v>
      </c>
      <c r="B7" s="27" t="s">
        <v>378</v>
      </c>
      <c r="C7" s="28" t="s">
        <v>130</v>
      </c>
      <c r="D7" s="28">
        <v>2023</v>
      </c>
      <c r="E7" s="28" t="s">
        <v>128</v>
      </c>
      <c r="F7" s="28" t="s">
        <v>127</v>
      </c>
      <c r="G7" s="28" t="s">
        <v>406</v>
      </c>
      <c r="H7" s="28" t="s">
        <v>100</v>
      </c>
      <c r="I7" s="3"/>
      <c r="J7" s="3"/>
      <c r="K7" s="3"/>
      <c r="L7" s="3"/>
      <c r="M7" s="3"/>
      <c r="N7" s="3"/>
      <c r="O7" s="3"/>
      <c r="P7" s="3"/>
      <c r="Q7" s="3"/>
      <c r="R7" s="3"/>
    </row>
    <row r="8" spans="1:21" x14ac:dyDescent="0.2">
      <c r="A8" s="27">
        <v>182</v>
      </c>
      <c r="B8" s="27" t="s">
        <v>172</v>
      </c>
      <c r="C8" s="28" t="s">
        <v>167</v>
      </c>
      <c r="D8" s="28">
        <v>2018</v>
      </c>
      <c r="E8" s="28" t="s">
        <v>128</v>
      </c>
      <c r="F8" s="28" t="s">
        <v>127</v>
      </c>
      <c r="G8" s="28" t="s">
        <v>407</v>
      </c>
      <c r="H8" s="28" t="s">
        <v>409</v>
      </c>
      <c r="I8" s="3"/>
      <c r="J8" s="3"/>
      <c r="K8" s="3"/>
      <c r="L8" s="3"/>
      <c r="M8" s="3"/>
      <c r="N8" s="3"/>
      <c r="O8" s="3"/>
      <c r="P8" s="3"/>
      <c r="Q8" s="3"/>
      <c r="R8" s="3"/>
    </row>
    <row r="9" spans="1:21" x14ac:dyDescent="0.2">
      <c r="A9" s="27">
        <v>183</v>
      </c>
      <c r="B9" s="27" t="s">
        <v>172</v>
      </c>
      <c r="C9" s="28" t="s">
        <v>167</v>
      </c>
      <c r="D9" s="28">
        <v>2020</v>
      </c>
      <c r="E9" s="28" t="s">
        <v>128</v>
      </c>
      <c r="F9" s="28" t="s">
        <v>127</v>
      </c>
      <c r="G9" s="28" t="s">
        <v>408</v>
      </c>
      <c r="H9" s="28" t="s">
        <v>409</v>
      </c>
      <c r="I9" s="3"/>
      <c r="J9" s="3"/>
      <c r="K9" s="3"/>
      <c r="L9" s="3"/>
      <c r="M9" s="3"/>
      <c r="N9" s="3"/>
      <c r="O9" s="3"/>
      <c r="P9" s="3"/>
      <c r="Q9" s="3"/>
      <c r="R9" s="3"/>
    </row>
    <row r="10" spans="1:21" x14ac:dyDescent="0.2">
      <c r="A10" s="27">
        <v>184</v>
      </c>
      <c r="B10" s="27" t="s">
        <v>172</v>
      </c>
      <c r="C10" s="28" t="s">
        <v>167</v>
      </c>
      <c r="D10" s="28">
        <v>2023</v>
      </c>
      <c r="E10" s="28" t="s">
        <v>128</v>
      </c>
      <c r="F10" s="28" t="s">
        <v>127</v>
      </c>
      <c r="G10" s="28" t="s">
        <v>11</v>
      </c>
      <c r="H10" s="28" t="s">
        <v>97</v>
      </c>
      <c r="I10" s="3"/>
      <c r="J10" s="7" t="s">
        <v>208</v>
      </c>
      <c r="K10" s="7" t="s">
        <v>7</v>
      </c>
      <c r="L10" s="7" t="s">
        <v>49</v>
      </c>
      <c r="M10" s="7" t="s">
        <v>136</v>
      </c>
      <c r="N10" s="7" t="s">
        <v>130</v>
      </c>
      <c r="O10" s="7" t="s">
        <v>167</v>
      </c>
      <c r="P10" s="7" t="s">
        <v>160</v>
      </c>
      <c r="Q10" s="7" t="s">
        <v>404</v>
      </c>
      <c r="R10" s="7" t="s">
        <v>411</v>
      </c>
      <c r="S10" s="7" t="s">
        <v>417</v>
      </c>
      <c r="T10" s="7" t="s">
        <v>427</v>
      </c>
      <c r="U10" s="7" t="s">
        <v>211</v>
      </c>
    </row>
    <row r="11" spans="1:21" x14ac:dyDescent="0.2">
      <c r="A11" s="14">
        <v>185</v>
      </c>
      <c r="B11" s="14" t="s">
        <v>262</v>
      </c>
      <c r="C11" s="20"/>
      <c r="D11" s="20"/>
      <c r="E11" s="20"/>
      <c r="F11" s="20"/>
      <c r="G11" s="20"/>
      <c r="H11" s="20"/>
      <c r="I11" s="3"/>
      <c r="J11" s="7" t="s">
        <v>210</v>
      </c>
      <c r="K11" s="7">
        <f>COUNTIFS(C2:C66,K10, F2:F66,F3)</f>
        <v>4</v>
      </c>
      <c r="L11" s="7">
        <f>COUNTIFS(C2:C66,L10, F2:F66,F3)</f>
        <v>8</v>
      </c>
      <c r="M11" s="7">
        <f>COUNTIFS(C2:C66,M10, F2:F66,F3)</f>
        <v>3</v>
      </c>
      <c r="N11" s="7">
        <f>COUNTIFS(C2:C66,N10, F2:F66,F3)</f>
        <v>4</v>
      </c>
      <c r="O11" s="3">
        <f>COUNTIFS(C2:C66,O10, F2:F66,F3)</f>
        <v>14</v>
      </c>
      <c r="P11" s="7">
        <v>1</v>
      </c>
      <c r="Q11" s="7">
        <v>3</v>
      </c>
      <c r="R11" s="17">
        <v>1</v>
      </c>
      <c r="S11" s="7">
        <v>1</v>
      </c>
      <c r="T11" s="7">
        <v>1</v>
      </c>
      <c r="U11" s="7">
        <f>SUM(K11:T11)</f>
        <v>40</v>
      </c>
    </row>
    <row r="12" spans="1:21" x14ac:dyDescent="0.2">
      <c r="A12" s="14">
        <v>186</v>
      </c>
      <c r="B12" s="14" t="s">
        <v>262</v>
      </c>
      <c r="C12" s="20"/>
      <c r="D12" s="20"/>
      <c r="E12" s="20"/>
      <c r="F12" s="20"/>
      <c r="G12" s="20"/>
      <c r="H12" s="20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21" x14ac:dyDescent="0.2">
      <c r="A13" s="27">
        <v>187</v>
      </c>
      <c r="B13" s="27" t="s">
        <v>379</v>
      </c>
      <c r="C13" s="28" t="s">
        <v>167</v>
      </c>
      <c r="D13" s="28">
        <v>2012</v>
      </c>
      <c r="E13" s="28" t="s">
        <v>128</v>
      </c>
      <c r="F13" s="28" t="s">
        <v>127</v>
      </c>
      <c r="G13" s="28" t="s">
        <v>11</v>
      </c>
      <c r="H13" s="28" t="s">
        <v>439</v>
      </c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21" x14ac:dyDescent="0.2">
      <c r="A14" s="27">
        <v>188</v>
      </c>
      <c r="B14" s="27" t="s">
        <v>27</v>
      </c>
      <c r="C14" s="7" t="s">
        <v>7</v>
      </c>
      <c r="D14" s="7">
        <v>2022</v>
      </c>
      <c r="E14" s="7" t="s">
        <v>128</v>
      </c>
      <c r="F14" s="7" t="s">
        <v>127</v>
      </c>
      <c r="G14" s="7" t="s">
        <v>371</v>
      </c>
      <c r="H14" s="28" t="s">
        <v>440</v>
      </c>
      <c r="I14" s="3"/>
      <c r="J14" s="7" t="s">
        <v>208</v>
      </c>
      <c r="K14" s="7" t="s">
        <v>7</v>
      </c>
      <c r="L14" s="7" t="s">
        <v>49</v>
      </c>
      <c r="M14" s="7" t="s">
        <v>136</v>
      </c>
      <c r="N14" s="7" t="s">
        <v>130</v>
      </c>
      <c r="O14" s="7" t="s">
        <v>167</v>
      </c>
      <c r="P14" s="7" t="s">
        <v>160</v>
      </c>
      <c r="Q14" s="7" t="s">
        <v>404</v>
      </c>
      <c r="R14" s="7" t="s">
        <v>411</v>
      </c>
      <c r="S14" s="7" t="s">
        <v>417</v>
      </c>
      <c r="T14" s="7" t="s">
        <v>427</v>
      </c>
      <c r="U14" s="7" t="s">
        <v>211</v>
      </c>
    </row>
    <row r="15" spans="1:21" x14ac:dyDescent="0.2">
      <c r="A15" s="14">
        <v>189</v>
      </c>
      <c r="B15" s="14" t="s">
        <v>28</v>
      </c>
      <c r="C15" s="20"/>
      <c r="D15" s="20"/>
      <c r="E15" s="20"/>
      <c r="F15" s="20"/>
      <c r="G15" s="20"/>
      <c r="H15" s="20"/>
      <c r="I15" s="3"/>
      <c r="J15" s="7" t="s">
        <v>213</v>
      </c>
      <c r="K15" s="7">
        <f>COUNTIFS(C2:C66,K14, F2:F66,F7, G2:G66, "&lt;&gt;N/A")</f>
        <v>4</v>
      </c>
      <c r="L15" s="7">
        <f>COUNTIFS(C2:C66,L14, F2:F66,F7, G2:G66, "&lt;&gt;N/A")</f>
        <v>5</v>
      </c>
      <c r="M15" s="7">
        <f>COUNTIFS(C2:C66,M14, F2:F66,F7, G2:G66, "&lt;&gt;N/A")</f>
        <v>1</v>
      </c>
      <c r="N15" s="7">
        <f>COUNTIFS(C2:C66,N14, F2:F66,F7, G2:G66, "&lt;&gt;N/A")</f>
        <v>2</v>
      </c>
      <c r="O15" s="7">
        <f>COUNTIFS(C2:C66,O14, F2:F66,F7, G2:G66, "&lt;&gt;N/A")</f>
        <v>7</v>
      </c>
      <c r="P15" s="7">
        <f>COUNTIFS(C2:C66,P14, F2:F66,F7, G2:G66, "&lt;&gt;N/A")</f>
        <v>1</v>
      </c>
      <c r="Q15" s="7">
        <f>COUNTIFS(C2:C66,Q14, F2:F66,F7, G2:G66, "&lt;&gt;N/A")</f>
        <v>1</v>
      </c>
      <c r="R15" s="17">
        <f>COUNTIFS(C2:C66,R14, F2:F66,F7, G2:G66, "&lt;&gt;N/A")</f>
        <v>1</v>
      </c>
      <c r="S15" s="17">
        <f>COUNTIFS(C2:C66,S14, F2:F66,F7, G2:G66, "&lt;&gt;N/A")</f>
        <v>1</v>
      </c>
      <c r="T15" s="17">
        <f>COUNTIFS(C2:C66,T14, F2:F66,F7, G2:G66, "&lt;&gt;N/A")</f>
        <v>0</v>
      </c>
      <c r="U15" s="7">
        <f>SUM(K15:T15)</f>
        <v>23</v>
      </c>
    </row>
    <row r="16" spans="1:21" x14ac:dyDescent="0.2">
      <c r="A16" s="27">
        <v>190</v>
      </c>
      <c r="B16" s="27" t="s">
        <v>380</v>
      </c>
      <c r="C16" s="28" t="s">
        <v>167</v>
      </c>
      <c r="D16" s="28">
        <v>2017</v>
      </c>
      <c r="E16" s="28" t="s">
        <v>128</v>
      </c>
      <c r="F16" s="28" t="s">
        <v>127</v>
      </c>
      <c r="G16" s="28" t="s">
        <v>11</v>
      </c>
      <c r="H16" s="28" t="s">
        <v>441</v>
      </c>
      <c r="I16" s="3"/>
      <c r="J16" s="3"/>
      <c r="K16" s="3"/>
      <c r="L16" s="3"/>
      <c r="M16" s="3"/>
      <c r="N16" s="3"/>
      <c r="O16" s="3"/>
      <c r="P16" s="3"/>
    </row>
    <row r="17" spans="1:16" ht="17" x14ac:dyDescent="0.2">
      <c r="A17" s="27">
        <v>191</v>
      </c>
      <c r="B17" s="27" t="s">
        <v>381</v>
      </c>
      <c r="C17" s="28" t="s">
        <v>411</v>
      </c>
      <c r="D17" s="28">
        <v>2023</v>
      </c>
      <c r="E17" s="28" t="s">
        <v>127</v>
      </c>
      <c r="F17" s="28" t="s">
        <v>127</v>
      </c>
      <c r="G17" s="32" t="s">
        <v>412</v>
      </c>
      <c r="H17" s="28" t="s">
        <v>413</v>
      </c>
      <c r="I17" s="3"/>
      <c r="J17" s="3"/>
      <c r="K17" s="3"/>
      <c r="L17" s="3"/>
      <c r="M17" s="3"/>
      <c r="N17" s="3"/>
      <c r="O17" s="3"/>
      <c r="P17" s="3"/>
    </row>
    <row r="18" spans="1:16" x14ac:dyDescent="0.2">
      <c r="A18" s="27">
        <v>192</v>
      </c>
      <c r="B18" s="27" t="s">
        <v>382</v>
      </c>
      <c r="C18" s="28" t="s">
        <v>404</v>
      </c>
      <c r="D18" s="28">
        <v>2012</v>
      </c>
      <c r="E18" s="28" t="s">
        <v>128</v>
      </c>
      <c r="F18" s="28" t="s">
        <v>127</v>
      </c>
      <c r="G18" s="28" t="s">
        <v>11</v>
      </c>
      <c r="H18" s="28" t="s">
        <v>442</v>
      </c>
      <c r="I18" s="3"/>
      <c r="J18" s="3"/>
      <c r="K18" s="3"/>
      <c r="L18" s="3"/>
      <c r="M18" s="3"/>
      <c r="N18" s="3"/>
      <c r="O18" s="3"/>
      <c r="P18" s="3"/>
    </row>
    <row r="19" spans="1:16" x14ac:dyDescent="0.2">
      <c r="A19" s="27">
        <v>193</v>
      </c>
      <c r="B19" s="27" t="s">
        <v>360</v>
      </c>
      <c r="C19" s="28" t="s">
        <v>167</v>
      </c>
      <c r="D19" s="28">
        <v>2006</v>
      </c>
      <c r="E19" s="28" t="s">
        <v>128</v>
      </c>
      <c r="F19" s="28" t="s">
        <v>127</v>
      </c>
      <c r="G19" s="28" t="s">
        <v>11</v>
      </c>
      <c r="H19" s="28" t="s">
        <v>173</v>
      </c>
      <c r="I19" s="3"/>
      <c r="J19" s="7" t="s">
        <v>304</v>
      </c>
      <c r="K19" s="7">
        <f>((COUNTIFS(E2:E65,E17))/U5) * 100</f>
        <v>20.930232558139537</v>
      </c>
      <c r="L19" s="3"/>
      <c r="M19" s="3"/>
      <c r="N19" s="3"/>
      <c r="O19" s="3"/>
      <c r="P19" s="3"/>
    </row>
    <row r="20" spans="1:16" x14ac:dyDescent="0.2">
      <c r="A20" s="27">
        <v>194</v>
      </c>
      <c r="B20" s="27" t="s">
        <v>32</v>
      </c>
      <c r="C20" s="28" t="s">
        <v>136</v>
      </c>
      <c r="D20" s="28">
        <v>2020</v>
      </c>
      <c r="E20" s="28" t="s">
        <v>128</v>
      </c>
      <c r="F20" s="28" t="s">
        <v>127</v>
      </c>
      <c r="G20" s="28" t="s">
        <v>11</v>
      </c>
      <c r="H20" s="28" t="s">
        <v>97</v>
      </c>
      <c r="I20" s="3"/>
      <c r="J20" s="3"/>
      <c r="K20" s="3"/>
      <c r="L20" s="3"/>
      <c r="M20" s="3"/>
      <c r="N20" s="3"/>
      <c r="O20" s="3"/>
      <c r="P20" s="3"/>
    </row>
    <row r="21" spans="1:16" x14ac:dyDescent="0.2">
      <c r="A21" s="27">
        <v>195</v>
      </c>
      <c r="B21" s="27" t="s">
        <v>383</v>
      </c>
      <c r="C21" s="28" t="s">
        <v>136</v>
      </c>
      <c r="D21" s="28">
        <v>2013</v>
      </c>
      <c r="E21" s="28" t="s">
        <v>128</v>
      </c>
      <c r="F21" s="28" t="s">
        <v>127</v>
      </c>
      <c r="G21" s="28" t="s">
        <v>414</v>
      </c>
      <c r="H21" s="28" t="s">
        <v>415</v>
      </c>
      <c r="I21" s="3"/>
      <c r="J21" s="7" t="s">
        <v>212</v>
      </c>
      <c r="K21" s="7">
        <f>AVERAGE(D3:D65)</f>
        <v>2017.0625</v>
      </c>
      <c r="L21" s="3"/>
      <c r="M21" s="3"/>
      <c r="N21" s="3"/>
      <c r="O21" s="3"/>
      <c r="P21" s="3"/>
    </row>
    <row r="22" spans="1:16" x14ac:dyDescent="0.2">
      <c r="A22" s="14">
        <v>196</v>
      </c>
      <c r="B22" s="14" t="s">
        <v>38</v>
      </c>
      <c r="C22" s="20"/>
      <c r="D22" s="20"/>
      <c r="E22" s="20"/>
      <c r="F22" s="20"/>
      <c r="G22" s="20"/>
      <c r="H22" s="20"/>
      <c r="I22" s="3"/>
      <c r="J22" s="3"/>
      <c r="K22" s="3"/>
      <c r="L22" s="3"/>
      <c r="M22" s="3"/>
      <c r="N22" s="3"/>
      <c r="O22" s="3"/>
      <c r="P22" s="3"/>
    </row>
    <row r="23" spans="1:16" x14ac:dyDescent="0.2">
      <c r="A23" s="27">
        <v>197</v>
      </c>
      <c r="B23" s="27" t="s">
        <v>369</v>
      </c>
      <c r="C23" s="7" t="s">
        <v>7</v>
      </c>
      <c r="D23" s="7">
        <v>2023</v>
      </c>
      <c r="E23" s="7" t="s">
        <v>127</v>
      </c>
      <c r="F23" s="7" t="s">
        <v>127</v>
      </c>
      <c r="G23" s="7" t="s">
        <v>370</v>
      </c>
      <c r="H23" s="28" t="s">
        <v>8</v>
      </c>
      <c r="I23" s="3"/>
      <c r="J23" s="24"/>
      <c r="K23" s="24"/>
      <c r="L23" s="3"/>
      <c r="M23" s="3"/>
      <c r="N23" s="3"/>
      <c r="O23" s="3"/>
      <c r="P23" s="3"/>
    </row>
    <row r="24" spans="1:16" x14ac:dyDescent="0.2">
      <c r="A24" s="14">
        <v>198</v>
      </c>
      <c r="B24" s="14" t="s">
        <v>43</v>
      </c>
      <c r="C24" s="20"/>
      <c r="D24" s="20"/>
      <c r="E24" s="20"/>
      <c r="F24" s="20"/>
      <c r="G24" s="20"/>
      <c r="H24" s="20"/>
      <c r="I24" s="3"/>
      <c r="J24" s="3"/>
      <c r="K24" s="3"/>
      <c r="L24" s="3"/>
      <c r="M24" s="3"/>
      <c r="N24" s="3"/>
      <c r="O24" s="3"/>
      <c r="P24" s="3"/>
    </row>
    <row r="25" spans="1:16" x14ac:dyDescent="0.2">
      <c r="A25" s="27">
        <v>199</v>
      </c>
      <c r="B25" s="6" t="s">
        <v>384</v>
      </c>
      <c r="C25" s="7" t="s">
        <v>417</v>
      </c>
      <c r="D25" s="7">
        <v>2008</v>
      </c>
      <c r="E25" s="7" t="s">
        <v>128</v>
      </c>
      <c r="F25" s="7" t="s">
        <v>127</v>
      </c>
      <c r="G25" s="7" t="s">
        <v>416</v>
      </c>
      <c r="H25" s="7" t="s">
        <v>413</v>
      </c>
      <c r="I25" s="3"/>
      <c r="J25" s="19" t="s">
        <v>216</v>
      </c>
      <c r="K25" s="19" t="s">
        <v>254</v>
      </c>
      <c r="L25" s="3"/>
      <c r="M25" s="3"/>
      <c r="N25" s="3"/>
      <c r="O25" s="3"/>
      <c r="P25" s="3"/>
    </row>
    <row r="26" spans="1:16" x14ac:dyDescent="0.2">
      <c r="A26" s="14">
        <v>200</v>
      </c>
      <c r="B26" s="14" t="s">
        <v>44</v>
      </c>
      <c r="C26" s="20"/>
      <c r="D26" s="20"/>
      <c r="E26" s="20"/>
      <c r="F26" s="20"/>
      <c r="G26" s="20"/>
      <c r="H26" s="20"/>
      <c r="I26" s="3"/>
      <c r="J26" s="23" t="s">
        <v>217</v>
      </c>
      <c r="K26" s="22">
        <v>6</v>
      </c>
      <c r="L26" s="3"/>
      <c r="M26" s="3"/>
      <c r="N26" s="3"/>
      <c r="O26" s="3"/>
      <c r="P26" s="3"/>
    </row>
    <row r="27" spans="1:16" x14ac:dyDescent="0.2">
      <c r="A27" s="27">
        <v>201</v>
      </c>
      <c r="B27" s="6" t="s">
        <v>385</v>
      </c>
      <c r="C27" s="7" t="s">
        <v>167</v>
      </c>
      <c r="D27" s="7">
        <v>2011</v>
      </c>
      <c r="E27" s="7" t="s">
        <v>128</v>
      </c>
      <c r="F27" s="7" t="s">
        <v>127</v>
      </c>
      <c r="G27" s="7" t="s">
        <v>418</v>
      </c>
      <c r="H27" s="7" t="s">
        <v>419</v>
      </c>
      <c r="I27" s="3"/>
      <c r="J27" s="23" t="s">
        <v>220</v>
      </c>
      <c r="K27" s="22">
        <v>4</v>
      </c>
      <c r="L27" s="3"/>
      <c r="M27" s="3"/>
      <c r="N27" s="3"/>
      <c r="O27" s="3"/>
      <c r="P27" s="3"/>
    </row>
    <row r="28" spans="1:16" x14ac:dyDescent="0.2">
      <c r="A28" s="27">
        <v>202</v>
      </c>
      <c r="B28" s="6" t="s">
        <v>386</v>
      </c>
      <c r="C28" s="7" t="s">
        <v>11</v>
      </c>
      <c r="D28" s="7">
        <v>2014</v>
      </c>
      <c r="E28" s="7" t="s">
        <v>128</v>
      </c>
      <c r="F28" s="7" t="s">
        <v>128</v>
      </c>
      <c r="G28" s="7" t="s">
        <v>11</v>
      </c>
      <c r="H28" s="7" t="s">
        <v>11</v>
      </c>
      <c r="I28" s="3"/>
      <c r="J28" s="23" t="s">
        <v>452</v>
      </c>
      <c r="K28" s="22">
        <v>3</v>
      </c>
      <c r="L28" s="3"/>
      <c r="M28" s="3"/>
      <c r="N28" s="3"/>
      <c r="O28" s="3"/>
      <c r="P28" s="3"/>
    </row>
    <row r="29" spans="1:16" x14ac:dyDescent="0.2">
      <c r="A29" s="27">
        <v>203</v>
      </c>
      <c r="B29" s="6" t="s">
        <v>387</v>
      </c>
      <c r="C29" s="7" t="s">
        <v>130</v>
      </c>
      <c r="D29" s="7">
        <v>2021</v>
      </c>
      <c r="E29" s="7" t="s">
        <v>127</v>
      </c>
      <c r="F29" s="7" t="s">
        <v>127</v>
      </c>
      <c r="G29" s="7" t="s">
        <v>11</v>
      </c>
      <c r="H29" s="7" t="s">
        <v>425</v>
      </c>
      <c r="I29" s="3"/>
      <c r="J29" s="23" t="s">
        <v>457</v>
      </c>
      <c r="K29" s="22">
        <v>3</v>
      </c>
      <c r="L29" s="3"/>
      <c r="M29" s="3"/>
      <c r="N29" s="3"/>
      <c r="O29" s="3"/>
      <c r="P29" s="3"/>
    </row>
    <row r="30" spans="1:16" x14ac:dyDescent="0.2">
      <c r="A30" s="27">
        <v>204</v>
      </c>
      <c r="B30" s="6" t="s">
        <v>388</v>
      </c>
      <c r="C30" s="7" t="s">
        <v>11</v>
      </c>
      <c r="D30" s="7">
        <v>2018</v>
      </c>
      <c r="E30" s="7" t="s">
        <v>128</v>
      </c>
      <c r="F30" s="7" t="s">
        <v>128</v>
      </c>
      <c r="G30" s="7" t="s">
        <v>11</v>
      </c>
      <c r="H30" s="7" t="s">
        <v>11</v>
      </c>
      <c r="I30" s="3"/>
      <c r="J30" s="23" t="s">
        <v>461</v>
      </c>
      <c r="K30" s="22">
        <v>3</v>
      </c>
      <c r="L30" s="3"/>
      <c r="M30" s="3"/>
      <c r="N30" s="3"/>
      <c r="O30" s="3"/>
      <c r="P30" s="3"/>
    </row>
    <row r="31" spans="1:16" x14ac:dyDescent="0.2">
      <c r="A31" s="27">
        <v>205</v>
      </c>
      <c r="B31" s="6" t="s">
        <v>389</v>
      </c>
      <c r="C31" s="7" t="s">
        <v>49</v>
      </c>
      <c r="D31" s="7">
        <v>2023</v>
      </c>
      <c r="E31" s="7" t="s">
        <v>128</v>
      </c>
      <c r="F31" s="7" t="s">
        <v>127</v>
      </c>
      <c r="G31" s="7" t="s">
        <v>11</v>
      </c>
      <c r="H31" s="7" t="s">
        <v>443</v>
      </c>
      <c r="I31" s="3"/>
      <c r="J31" s="23" t="s">
        <v>462</v>
      </c>
      <c r="K31" s="22">
        <v>3</v>
      </c>
      <c r="L31" s="3"/>
      <c r="M31" s="3"/>
      <c r="N31" s="3"/>
      <c r="O31" s="3"/>
      <c r="P31" s="3"/>
    </row>
    <row r="32" spans="1:16" x14ac:dyDescent="0.2">
      <c r="A32" s="14">
        <v>206</v>
      </c>
      <c r="B32" s="14" t="s">
        <v>51</v>
      </c>
      <c r="C32" s="20"/>
      <c r="D32" s="20"/>
      <c r="E32" s="20"/>
      <c r="F32" s="20"/>
      <c r="G32" s="20"/>
      <c r="H32" s="20"/>
      <c r="I32" s="3"/>
      <c r="J32" s="23" t="s">
        <v>466</v>
      </c>
      <c r="K32" s="22">
        <v>3</v>
      </c>
      <c r="L32" s="3"/>
      <c r="M32" s="3"/>
      <c r="N32" s="3"/>
      <c r="O32" s="3"/>
      <c r="P32" s="3"/>
    </row>
    <row r="33" spans="1:16" x14ac:dyDescent="0.2">
      <c r="A33" s="27">
        <v>207</v>
      </c>
      <c r="B33" s="6" t="s">
        <v>390</v>
      </c>
      <c r="C33" s="7" t="s">
        <v>167</v>
      </c>
      <c r="D33" s="7">
        <v>2021</v>
      </c>
      <c r="E33" s="7" t="s">
        <v>128</v>
      </c>
      <c r="F33" s="7" t="s">
        <v>127</v>
      </c>
      <c r="G33" s="7" t="s">
        <v>420</v>
      </c>
      <c r="H33" s="7" t="s">
        <v>419</v>
      </c>
      <c r="I33" s="3"/>
      <c r="J33" s="23" t="s">
        <v>222</v>
      </c>
      <c r="K33" s="22">
        <v>2</v>
      </c>
      <c r="L33" s="3"/>
      <c r="M33" s="3"/>
      <c r="N33" s="3"/>
      <c r="O33" s="3"/>
      <c r="P33" s="3"/>
    </row>
    <row r="34" spans="1:16" x14ac:dyDescent="0.2">
      <c r="A34" s="27">
        <v>208</v>
      </c>
      <c r="B34" s="6" t="s">
        <v>390</v>
      </c>
      <c r="C34" s="7" t="s">
        <v>167</v>
      </c>
      <c r="D34" s="7">
        <v>2023</v>
      </c>
      <c r="E34" s="7" t="s">
        <v>128</v>
      </c>
      <c r="F34" s="7" t="s">
        <v>127</v>
      </c>
      <c r="G34" s="7" t="s">
        <v>11</v>
      </c>
      <c r="H34" s="7" t="s">
        <v>97</v>
      </c>
      <c r="I34" s="3"/>
      <c r="J34" s="23" t="s">
        <v>478</v>
      </c>
      <c r="K34" s="22">
        <v>2</v>
      </c>
      <c r="L34" s="3"/>
      <c r="M34" s="3"/>
      <c r="N34" s="3"/>
      <c r="O34" s="3"/>
      <c r="P34" s="3"/>
    </row>
    <row r="35" spans="1:16" x14ac:dyDescent="0.2">
      <c r="A35" s="27">
        <v>209</v>
      </c>
      <c r="B35" s="6" t="s">
        <v>372</v>
      </c>
      <c r="C35" s="7" t="s">
        <v>167</v>
      </c>
      <c r="D35" s="7">
        <v>2022</v>
      </c>
      <c r="E35" s="7" t="s">
        <v>128</v>
      </c>
      <c r="F35" s="7" t="s">
        <v>127</v>
      </c>
      <c r="G35" s="7" t="s">
        <v>421</v>
      </c>
      <c r="H35" s="7" t="s">
        <v>444</v>
      </c>
      <c r="I35" s="3"/>
      <c r="J35" s="23" t="s">
        <v>170</v>
      </c>
      <c r="K35" s="22">
        <v>2</v>
      </c>
      <c r="L35" s="3"/>
      <c r="M35" s="3"/>
      <c r="N35" s="3"/>
      <c r="O35" s="3"/>
      <c r="P35" s="3"/>
    </row>
    <row r="36" spans="1:16" x14ac:dyDescent="0.2">
      <c r="A36" s="27">
        <v>210</v>
      </c>
      <c r="B36" s="6" t="s">
        <v>372</v>
      </c>
      <c r="C36" s="7" t="s">
        <v>49</v>
      </c>
      <c r="D36" s="7">
        <v>2016</v>
      </c>
      <c r="E36" s="7" t="s">
        <v>127</v>
      </c>
      <c r="F36" s="7" t="s">
        <v>127</v>
      </c>
      <c r="G36" s="7" t="s">
        <v>422</v>
      </c>
      <c r="H36" s="7" t="s">
        <v>423</v>
      </c>
      <c r="I36" s="3"/>
      <c r="J36" s="23" t="s">
        <v>480</v>
      </c>
      <c r="K36" s="22">
        <v>2</v>
      </c>
      <c r="L36" s="3"/>
      <c r="M36" s="3"/>
      <c r="N36" s="3"/>
      <c r="O36" s="3"/>
      <c r="P36" s="3"/>
    </row>
    <row r="37" spans="1:16" x14ac:dyDescent="0.2">
      <c r="A37" s="27">
        <v>211</v>
      </c>
      <c r="B37" s="6" t="s">
        <v>391</v>
      </c>
      <c r="C37" s="7" t="s">
        <v>136</v>
      </c>
      <c r="D37" s="7">
        <v>2008</v>
      </c>
      <c r="E37" s="7" t="s">
        <v>128</v>
      </c>
      <c r="F37" s="7" t="s">
        <v>127</v>
      </c>
      <c r="G37" s="7" t="s">
        <v>11</v>
      </c>
      <c r="H37" s="7" t="s">
        <v>445</v>
      </c>
      <c r="I37" s="3"/>
      <c r="J37" s="23" t="s">
        <v>463</v>
      </c>
      <c r="K37" s="22">
        <v>2</v>
      </c>
      <c r="L37" s="3"/>
      <c r="M37" s="3"/>
      <c r="N37" s="3"/>
      <c r="O37" s="3"/>
      <c r="P37" s="3"/>
    </row>
    <row r="38" spans="1:16" x14ac:dyDescent="0.2">
      <c r="A38" s="27">
        <v>212</v>
      </c>
      <c r="B38" s="6" t="s">
        <v>392</v>
      </c>
      <c r="C38" s="7" t="s">
        <v>11</v>
      </c>
      <c r="D38" s="7">
        <v>2022</v>
      </c>
      <c r="E38" s="7" t="s">
        <v>128</v>
      </c>
      <c r="F38" s="7" t="s">
        <v>128</v>
      </c>
      <c r="G38" s="7" t="s">
        <v>11</v>
      </c>
      <c r="H38" s="7" t="s">
        <v>11</v>
      </c>
      <c r="I38" s="3"/>
      <c r="J38" s="23" t="s">
        <v>482</v>
      </c>
      <c r="K38" s="22">
        <v>2</v>
      </c>
      <c r="L38" s="3"/>
      <c r="M38" s="3"/>
      <c r="N38" s="3"/>
      <c r="O38" s="3"/>
      <c r="P38" s="3"/>
    </row>
    <row r="39" spans="1:16" x14ac:dyDescent="0.2">
      <c r="A39" s="14">
        <v>213</v>
      </c>
      <c r="B39" s="14" t="s">
        <v>6</v>
      </c>
      <c r="C39" s="20"/>
      <c r="D39" s="20"/>
      <c r="E39" s="20"/>
      <c r="F39" s="20"/>
      <c r="G39" s="20"/>
      <c r="H39" s="20"/>
      <c r="I39" s="3"/>
      <c r="J39" s="7" t="s">
        <v>449</v>
      </c>
      <c r="K39" s="22">
        <v>1</v>
      </c>
      <c r="L39" s="3"/>
      <c r="M39" s="3"/>
      <c r="N39" s="3"/>
      <c r="O39" s="3"/>
      <c r="P39" s="3"/>
    </row>
    <row r="40" spans="1:16" x14ac:dyDescent="0.2">
      <c r="A40" s="27">
        <v>214</v>
      </c>
      <c r="B40" s="6" t="s">
        <v>6</v>
      </c>
      <c r="C40" s="7" t="s">
        <v>7</v>
      </c>
      <c r="D40" s="7">
        <v>2021</v>
      </c>
      <c r="E40" s="7" t="s">
        <v>128</v>
      </c>
      <c r="F40" s="7" t="s">
        <v>127</v>
      </c>
      <c r="G40" s="7" t="s">
        <v>424</v>
      </c>
      <c r="H40" s="7" t="s">
        <v>425</v>
      </c>
      <c r="I40" s="3"/>
      <c r="J40" s="7" t="s">
        <v>450</v>
      </c>
      <c r="K40" s="22">
        <v>1</v>
      </c>
      <c r="L40" s="3"/>
      <c r="M40" s="3"/>
      <c r="N40" s="3"/>
      <c r="O40" s="3"/>
      <c r="P40" s="3"/>
    </row>
    <row r="41" spans="1:16" x14ac:dyDescent="0.2">
      <c r="A41" s="14">
        <v>215</v>
      </c>
      <c r="B41" s="14" t="s">
        <v>6</v>
      </c>
      <c r="C41" s="20"/>
      <c r="D41" s="20"/>
      <c r="E41" s="20"/>
      <c r="F41" s="20"/>
      <c r="G41" s="20"/>
      <c r="H41" s="20"/>
      <c r="I41" s="3"/>
      <c r="J41" s="23" t="s">
        <v>451</v>
      </c>
      <c r="K41" s="29">
        <v>1</v>
      </c>
      <c r="L41" s="3"/>
      <c r="M41" s="3"/>
      <c r="N41" s="3"/>
      <c r="O41" s="3"/>
      <c r="P41" s="3"/>
    </row>
    <row r="42" spans="1:16" x14ac:dyDescent="0.2">
      <c r="A42" s="14">
        <v>216</v>
      </c>
      <c r="B42" s="14" t="s">
        <v>393</v>
      </c>
      <c r="C42" s="20"/>
      <c r="D42" s="20"/>
      <c r="E42" s="20"/>
      <c r="F42" s="20"/>
      <c r="G42" s="20"/>
      <c r="H42" s="20"/>
      <c r="I42" s="3"/>
      <c r="J42" s="23" t="s">
        <v>453</v>
      </c>
      <c r="K42" s="22">
        <v>1</v>
      </c>
      <c r="L42" s="3"/>
      <c r="M42" s="3"/>
      <c r="N42" s="3"/>
      <c r="O42" s="3"/>
      <c r="P42" s="3"/>
    </row>
    <row r="43" spans="1:16" x14ac:dyDescent="0.2">
      <c r="A43" s="27">
        <v>217</v>
      </c>
      <c r="B43" s="6" t="s">
        <v>393</v>
      </c>
      <c r="C43" s="7" t="s">
        <v>130</v>
      </c>
      <c r="D43" s="7">
        <v>2022</v>
      </c>
      <c r="E43" s="7" t="s">
        <v>128</v>
      </c>
      <c r="F43" s="7" t="s">
        <v>127</v>
      </c>
      <c r="G43" s="7" t="s">
        <v>426</v>
      </c>
      <c r="H43" s="7" t="s">
        <v>446</v>
      </c>
      <c r="I43" s="3"/>
      <c r="J43" s="23" t="s">
        <v>454</v>
      </c>
      <c r="K43" s="22">
        <v>1</v>
      </c>
      <c r="L43" s="3"/>
      <c r="M43" s="3"/>
      <c r="N43" s="3"/>
      <c r="O43" s="3"/>
      <c r="P43" s="3"/>
    </row>
    <row r="44" spans="1:16" x14ac:dyDescent="0.2">
      <c r="A44" s="27">
        <v>218</v>
      </c>
      <c r="B44" s="6" t="s">
        <v>57</v>
      </c>
      <c r="C44" s="7" t="s">
        <v>49</v>
      </c>
      <c r="D44" s="7">
        <v>2022</v>
      </c>
      <c r="E44" s="7" t="s">
        <v>127</v>
      </c>
      <c r="F44" s="7" t="s">
        <v>127</v>
      </c>
      <c r="G44" s="7" t="s">
        <v>11</v>
      </c>
      <c r="H44" s="7" t="s">
        <v>97</v>
      </c>
      <c r="I44" s="3"/>
      <c r="J44" s="23" t="s">
        <v>455</v>
      </c>
      <c r="K44" s="22">
        <v>1</v>
      </c>
      <c r="L44" s="3"/>
      <c r="M44" s="3"/>
      <c r="N44" s="3"/>
      <c r="O44" s="3"/>
      <c r="P44" s="3"/>
    </row>
    <row r="45" spans="1:16" x14ac:dyDescent="0.2">
      <c r="A45" s="14">
        <v>219</v>
      </c>
      <c r="B45" s="14" t="s">
        <v>57</v>
      </c>
      <c r="C45" s="20"/>
      <c r="D45" s="20"/>
      <c r="E45" s="20"/>
      <c r="F45" s="20"/>
      <c r="G45" s="20"/>
      <c r="H45" s="20"/>
      <c r="I45" s="3"/>
      <c r="J45" s="23" t="s">
        <v>456</v>
      </c>
      <c r="K45" s="22">
        <v>1</v>
      </c>
      <c r="L45" s="3"/>
      <c r="M45" s="3"/>
      <c r="N45" s="3"/>
      <c r="O45" s="3"/>
      <c r="P45" s="3"/>
    </row>
    <row r="46" spans="1:16" x14ac:dyDescent="0.2">
      <c r="A46" s="14">
        <v>220</v>
      </c>
      <c r="B46" s="14" t="s">
        <v>58</v>
      </c>
      <c r="C46" s="20"/>
      <c r="D46" s="20"/>
      <c r="E46" s="20"/>
      <c r="F46" s="20"/>
      <c r="G46" s="20"/>
      <c r="H46" s="20"/>
      <c r="I46" s="3"/>
      <c r="J46" s="23" t="s">
        <v>458</v>
      </c>
      <c r="K46" s="22">
        <v>1</v>
      </c>
      <c r="L46" s="3"/>
      <c r="M46" s="3"/>
      <c r="N46" s="3"/>
      <c r="O46" s="3"/>
      <c r="P46" s="3"/>
    </row>
    <row r="47" spans="1:16" x14ac:dyDescent="0.2">
      <c r="A47" s="27">
        <v>221</v>
      </c>
      <c r="B47" s="6" t="s">
        <v>394</v>
      </c>
      <c r="C47" s="7" t="s">
        <v>427</v>
      </c>
      <c r="D47" s="7">
        <v>2011</v>
      </c>
      <c r="E47" s="7" t="s">
        <v>128</v>
      </c>
      <c r="F47" s="7" t="s">
        <v>127</v>
      </c>
      <c r="G47" s="7" t="s">
        <v>11</v>
      </c>
      <c r="H47" s="7" t="s">
        <v>447</v>
      </c>
      <c r="I47" s="3"/>
      <c r="J47" s="23" t="s">
        <v>459</v>
      </c>
      <c r="K47" s="22">
        <v>1</v>
      </c>
      <c r="L47" s="3"/>
      <c r="M47" s="3"/>
      <c r="N47" s="3"/>
      <c r="O47" s="3"/>
      <c r="P47" s="3"/>
    </row>
    <row r="48" spans="1:16" x14ac:dyDescent="0.2">
      <c r="A48" s="14">
        <v>222</v>
      </c>
      <c r="B48" s="14" t="s">
        <v>59</v>
      </c>
      <c r="C48" s="20"/>
      <c r="D48" s="20"/>
      <c r="E48" s="20"/>
      <c r="F48" s="20"/>
      <c r="G48" s="20"/>
      <c r="H48" s="20"/>
      <c r="I48" s="3"/>
      <c r="J48" s="23" t="s">
        <v>225</v>
      </c>
      <c r="K48" s="22">
        <v>2</v>
      </c>
      <c r="L48" s="3"/>
      <c r="M48" s="3"/>
      <c r="N48" s="3"/>
      <c r="O48" s="3"/>
      <c r="P48" s="3"/>
    </row>
    <row r="49" spans="1:16" x14ac:dyDescent="0.2">
      <c r="A49" s="27">
        <v>223</v>
      </c>
      <c r="B49" s="6" t="s">
        <v>171</v>
      </c>
      <c r="C49" s="7" t="s">
        <v>167</v>
      </c>
      <c r="D49" s="7">
        <v>2022</v>
      </c>
      <c r="E49" s="7" t="s">
        <v>128</v>
      </c>
      <c r="F49" s="7" t="s">
        <v>127</v>
      </c>
      <c r="G49" s="7" t="s">
        <v>352</v>
      </c>
      <c r="H49" s="7" t="s">
        <v>8</v>
      </c>
      <c r="I49" s="3"/>
      <c r="J49" s="23" t="s">
        <v>460</v>
      </c>
      <c r="K49" s="22">
        <v>1</v>
      </c>
      <c r="L49" s="3"/>
      <c r="M49" s="3"/>
      <c r="N49" s="3"/>
      <c r="O49" s="3"/>
      <c r="P49" s="3"/>
    </row>
    <row r="50" spans="1:16" x14ac:dyDescent="0.2">
      <c r="A50" s="6">
        <v>224</v>
      </c>
      <c r="B50" s="6" t="s">
        <v>169</v>
      </c>
      <c r="C50" s="7" t="s">
        <v>49</v>
      </c>
      <c r="D50" s="7">
        <v>2023</v>
      </c>
      <c r="E50" s="7" t="s">
        <v>127</v>
      </c>
      <c r="F50" s="7" t="s">
        <v>127</v>
      </c>
      <c r="G50" s="7" t="s">
        <v>365</v>
      </c>
      <c r="H50" s="7" t="s">
        <v>8</v>
      </c>
      <c r="I50" s="3"/>
      <c r="J50" s="23" t="s">
        <v>324</v>
      </c>
      <c r="K50" s="22">
        <v>1</v>
      </c>
      <c r="L50" s="3"/>
      <c r="M50" s="3"/>
      <c r="N50" s="3"/>
      <c r="O50" s="3"/>
      <c r="P50" s="3"/>
    </row>
    <row r="51" spans="1:16" x14ac:dyDescent="0.2">
      <c r="A51" s="27">
        <v>225</v>
      </c>
      <c r="B51" s="6" t="s">
        <v>169</v>
      </c>
      <c r="C51" s="7" t="s">
        <v>49</v>
      </c>
      <c r="D51" s="7">
        <v>2022</v>
      </c>
      <c r="E51" s="7" t="s">
        <v>128</v>
      </c>
      <c r="F51" s="7" t="s">
        <v>127</v>
      </c>
      <c r="G51" s="7" t="s">
        <v>11</v>
      </c>
      <c r="H51" s="7" t="s">
        <v>11</v>
      </c>
      <c r="I51" s="3"/>
      <c r="J51" s="23" t="s">
        <v>464</v>
      </c>
      <c r="K51" s="22">
        <v>1</v>
      </c>
      <c r="L51" s="3"/>
      <c r="M51" s="3"/>
      <c r="N51" s="3"/>
      <c r="O51" s="3"/>
      <c r="P51" s="3"/>
    </row>
    <row r="52" spans="1:16" x14ac:dyDescent="0.2">
      <c r="A52" s="27">
        <v>226</v>
      </c>
      <c r="B52" s="6" t="s">
        <v>169</v>
      </c>
      <c r="C52" s="7" t="s">
        <v>49</v>
      </c>
      <c r="D52" s="7">
        <v>2022</v>
      </c>
      <c r="E52" s="7" t="s">
        <v>127</v>
      </c>
      <c r="F52" s="7" t="s">
        <v>127</v>
      </c>
      <c r="G52" s="7" t="s">
        <v>364</v>
      </c>
      <c r="H52" s="7" t="s">
        <v>8</v>
      </c>
      <c r="I52" s="3"/>
      <c r="J52" s="23" t="s">
        <v>465</v>
      </c>
      <c r="K52" s="22">
        <v>1</v>
      </c>
      <c r="L52" s="3"/>
      <c r="M52" s="3"/>
      <c r="N52" s="3"/>
      <c r="O52" s="3"/>
      <c r="P52" s="3"/>
    </row>
    <row r="53" spans="1:16" x14ac:dyDescent="0.2">
      <c r="A53" s="27">
        <v>227</v>
      </c>
      <c r="B53" s="6" t="s">
        <v>395</v>
      </c>
      <c r="C53" s="7" t="s">
        <v>136</v>
      </c>
      <c r="D53" s="7">
        <v>2020</v>
      </c>
      <c r="E53" s="7" t="s">
        <v>128</v>
      </c>
      <c r="F53" s="7" t="s">
        <v>128</v>
      </c>
      <c r="G53" s="7" t="s">
        <v>11</v>
      </c>
      <c r="H53" s="7" t="s">
        <v>8</v>
      </c>
      <c r="I53" s="3"/>
      <c r="J53" s="23" t="s">
        <v>467</v>
      </c>
      <c r="K53" s="22">
        <v>1</v>
      </c>
      <c r="L53" s="3"/>
      <c r="M53" s="3"/>
      <c r="N53" s="3"/>
      <c r="O53" s="3"/>
      <c r="P53" s="3"/>
    </row>
    <row r="54" spans="1:16" x14ac:dyDescent="0.2">
      <c r="A54" s="27">
        <v>228</v>
      </c>
      <c r="B54" s="6" t="s">
        <v>396</v>
      </c>
      <c r="C54" s="7" t="s">
        <v>167</v>
      </c>
      <c r="D54" s="7">
        <v>2014</v>
      </c>
      <c r="E54" s="7" t="s">
        <v>128</v>
      </c>
      <c r="F54" s="7" t="s">
        <v>127</v>
      </c>
      <c r="G54" s="7" t="s">
        <v>11</v>
      </c>
      <c r="H54" s="8" t="s">
        <v>448</v>
      </c>
      <c r="I54" s="3"/>
      <c r="J54" s="23" t="s">
        <v>468</v>
      </c>
      <c r="K54" s="22">
        <v>1</v>
      </c>
      <c r="L54" s="3"/>
      <c r="M54" s="3"/>
      <c r="N54" s="3"/>
      <c r="O54" s="3"/>
      <c r="P54" s="3"/>
    </row>
    <row r="55" spans="1:16" x14ac:dyDescent="0.2">
      <c r="A55" s="27">
        <v>229</v>
      </c>
      <c r="B55" s="6" t="s">
        <v>397</v>
      </c>
      <c r="C55" s="7" t="s">
        <v>49</v>
      </c>
      <c r="D55" s="7">
        <v>2020</v>
      </c>
      <c r="E55" s="7" t="s">
        <v>128</v>
      </c>
      <c r="F55" s="7" t="s">
        <v>127</v>
      </c>
      <c r="G55" s="7" t="s">
        <v>428</v>
      </c>
      <c r="H55" s="7" t="s">
        <v>429</v>
      </c>
      <c r="I55" s="3"/>
      <c r="J55" s="23" t="s">
        <v>469</v>
      </c>
      <c r="K55" s="22">
        <v>1</v>
      </c>
      <c r="L55" s="3"/>
      <c r="M55" s="3"/>
      <c r="N55" s="3"/>
      <c r="O55" s="3"/>
      <c r="P55" s="3"/>
    </row>
    <row r="56" spans="1:16" x14ac:dyDescent="0.2">
      <c r="A56" s="14">
        <v>230</v>
      </c>
      <c r="B56" s="14" t="s">
        <v>68</v>
      </c>
      <c r="C56" s="20"/>
      <c r="D56" s="20"/>
      <c r="E56" s="20"/>
      <c r="F56" s="20"/>
      <c r="G56" s="20"/>
      <c r="H56" s="20"/>
      <c r="I56" s="3"/>
      <c r="J56" s="23" t="s">
        <v>470</v>
      </c>
      <c r="K56" s="22">
        <v>1</v>
      </c>
      <c r="L56" s="3"/>
      <c r="M56" s="3"/>
      <c r="N56" s="3"/>
      <c r="O56" s="3"/>
      <c r="P56" s="3"/>
    </row>
    <row r="57" spans="1:16" x14ac:dyDescent="0.2">
      <c r="A57" s="27">
        <v>231</v>
      </c>
      <c r="B57" s="6" t="s">
        <v>398</v>
      </c>
      <c r="C57" s="7" t="s">
        <v>11</v>
      </c>
      <c r="D57" s="7">
        <v>2021</v>
      </c>
      <c r="E57" s="7" t="s">
        <v>128</v>
      </c>
      <c r="F57" s="7" t="s">
        <v>128</v>
      </c>
      <c r="G57" s="7" t="s">
        <v>11</v>
      </c>
      <c r="H57" s="7" t="s">
        <v>11</v>
      </c>
      <c r="I57" s="3"/>
      <c r="J57" s="23" t="s">
        <v>471</v>
      </c>
      <c r="K57" s="22">
        <v>1</v>
      </c>
      <c r="L57" s="3"/>
      <c r="M57" s="3"/>
      <c r="N57" s="3"/>
      <c r="O57" s="3"/>
      <c r="P57" s="3"/>
    </row>
    <row r="58" spans="1:16" x14ac:dyDescent="0.2">
      <c r="A58" s="27">
        <v>232</v>
      </c>
      <c r="B58" s="6" t="s">
        <v>399</v>
      </c>
      <c r="C58" s="7" t="s">
        <v>49</v>
      </c>
      <c r="D58" s="7">
        <v>2009</v>
      </c>
      <c r="E58" s="7" t="s">
        <v>128</v>
      </c>
      <c r="F58" s="7" t="s">
        <v>127</v>
      </c>
      <c r="G58" s="7" t="s">
        <v>430</v>
      </c>
      <c r="H58" s="7" t="s">
        <v>431</v>
      </c>
      <c r="I58" s="3"/>
      <c r="J58" s="23" t="s">
        <v>472</v>
      </c>
      <c r="K58" s="22">
        <v>1</v>
      </c>
      <c r="L58" s="3"/>
      <c r="M58" s="3"/>
      <c r="N58" s="3"/>
      <c r="O58" s="3"/>
      <c r="P58" s="3"/>
    </row>
    <row r="59" spans="1:16" x14ac:dyDescent="0.2">
      <c r="A59" s="27">
        <v>233</v>
      </c>
      <c r="B59" s="6" t="s">
        <v>273</v>
      </c>
      <c r="C59" s="7" t="s">
        <v>7</v>
      </c>
      <c r="D59" s="7">
        <v>2011</v>
      </c>
      <c r="E59" s="7" t="s">
        <v>128</v>
      </c>
      <c r="F59" s="7" t="s">
        <v>127</v>
      </c>
      <c r="G59" s="7" t="s">
        <v>300</v>
      </c>
      <c r="H59" s="7" t="s">
        <v>290</v>
      </c>
      <c r="I59" s="3"/>
      <c r="J59" s="23" t="s">
        <v>473</v>
      </c>
      <c r="K59" s="22">
        <v>1</v>
      </c>
      <c r="L59" s="3"/>
      <c r="M59" s="3"/>
      <c r="N59" s="3"/>
      <c r="O59" s="3"/>
      <c r="P59" s="3"/>
    </row>
    <row r="60" spans="1:16" x14ac:dyDescent="0.2">
      <c r="A60" s="27">
        <v>234</v>
      </c>
      <c r="B60" s="6" t="s">
        <v>373</v>
      </c>
      <c r="C60" s="7" t="s">
        <v>167</v>
      </c>
      <c r="D60" s="7">
        <v>2018</v>
      </c>
      <c r="E60" s="7" t="s">
        <v>128</v>
      </c>
      <c r="F60" s="7" t="s">
        <v>127</v>
      </c>
      <c r="G60" s="7" t="s">
        <v>432</v>
      </c>
      <c r="H60" s="7" t="s">
        <v>8</v>
      </c>
      <c r="I60" s="3"/>
      <c r="J60" s="23" t="s">
        <v>475</v>
      </c>
      <c r="K60" s="22">
        <v>1</v>
      </c>
      <c r="L60" s="3"/>
      <c r="M60" s="3"/>
      <c r="N60" s="3"/>
      <c r="O60" s="3"/>
      <c r="P60" s="3"/>
    </row>
    <row r="61" spans="1:16" x14ac:dyDescent="0.2">
      <c r="A61" s="14">
        <v>235</v>
      </c>
      <c r="B61" s="14" t="s">
        <v>77</v>
      </c>
      <c r="C61" s="20"/>
      <c r="D61" s="20"/>
      <c r="E61" s="20"/>
      <c r="F61" s="20"/>
      <c r="G61" s="20"/>
      <c r="H61" s="20"/>
      <c r="I61" s="3"/>
      <c r="J61" s="23" t="s">
        <v>343</v>
      </c>
      <c r="K61" s="22">
        <v>1</v>
      </c>
      <c r="L61" s="3"/>
      <c r="M61" s="3"/>
      <c r="N61" s="3"/>
      <c r="O61" s="3"/>
      <c r="P61" s="3"/>
    </row>
    <row r="62" spans="1:16" x14ac:dyDescent="0.2">
      <c r="A62" s="27">
        <v>236</v>
      </c>
      <c r="B62" s="6" t="s">
        <v>400</v>
      </c>
      <c r="C62" s="7" t="s">
        <v>130</v>
      </c>
      <c r="D62" s="7">
        <v>2021</v>
      </c>
      <c r="E62" s="7" t="s">
        <v>128</v>
      </c>
      <c r="F62" s="7" t="s">
        <v>127</v>
      </c>
      <c r="G62" s="7" t="s">
        <v>11</v>
      </c>
      <c r="H62" s="7" t="s">
        <v>97</v>
      </c>
      <c r="I62" s="3"/>
      <c r="J62" s="23" t="s">
        <v>476</v>
      </c>
      <c r="K62" s="22">
        <v>1</v>
      </c>
      <c r="L62" s="3"/>
      <c r="M62" s="3"/>
      <c r="N62" s="3"/>
      <c r="O62" s="3"/>
      <c r="P62" s="3"/>
    </row>
    <row r="63" spans="1:16" x14ac:dyDescent="0.2">
      <c r="A63" s="27">
        <v>237</v>
      </c>
      <c r="B63" s="6" t="s">
        <v>401</v>
      </c>
      <c r="C63" s="7" t="s">
        <v>160</v>
      </c>
      <c r="D63" s="7">
        <v>2015</v>
      </c>
      <c r="E63" s="7" t="s">
        <v>127</v>
      </c>
      <c r="F63" s="7" t="s">
        <v>127</v>
      </c>
      <c r="G63" s="7" t="s">
        <v>433</v>
      </c>
      <c r="H63" s="7" t="s">
        <v>434</v>
      </c>
      <c r="I63" s="3"/>
      <c r="J63" s="23" t="s">
        <v>477</v>
      </c>
      <c r="K63" s="22">
        <v>1</v>
      </c>
      <c r="L63" s="3"/>
      <c r="M63" s="3"/>
      <c r="N63" s="3"/>
      <c r="O63" s="3"/>
      <c r="P63" s="3"/>
    </row>
    <row r="64" spans="1:16" x14ac:dyDescent="0.2">
      <c r="A64" s="27">
        <v>238</v>
      </c>
      <c r="B64" s="6" t="s">
        <v>402</v>
      </c>
      <c r="C64" s="7" t="s">
        <v>11</v>
      </c>
      <c r="D64" s="7">
        <v>2018</v>
      </c>
      <c r="E64" s="7" t="s">
        <v>128</v>
      </c>
      <c r="F64" s="7" t="s">
        <v>128</v>
      </c>
      <c r="G64" s="7" t="s">
        <v>11</v>
      </c>
      <c r="H64" s="7" t="s">
        <v>11</v>
      </c>
      <c r="I64" s="3"/>
      <c r="J64" s="23" t="s">
        <v>479</v>
      </c>
      <c r="K64" s="22">
        <v>1</v>
      </c>
      <c r="L64" s="3"/>
      <c r="M64" s="3"/>
      <c r="N64" s="3"/>
      <c r="O64" s="3"/>
      <c r="P64" s="3"/>
    </row>
    <row r="65" spans="1:16" x14ac:dyDescent="0.2">
      <c r="A65" s="27">
        <v>239</v>
      </c>
      <c r="B65" s="6" t="s">
        <v>403</v>
      </c>
      <c r="C65" s="7" t="s">
        <v>404</v>
      </c>
      <c r="D65" s="7">
        <v>2018</v>
      </c>
      <c r="E65" s="7" t="s">
        <v>128</v>
      </c>
      <c r="F65" s="7" t="s">
        <v>127</v>
      </c>
      <c r="G65" s="7" t="s">
        <v>11</v>
      </c>
      <c r="H65" s="7" t="s">
        <v>435</v>
      </c>
      <c r="I65" s="3"/>
      <c r="J65" s="23" t="s">
        <v>481</v>
      </c>
      <c r="K65" s="22">
        <v>1</v>
      </c>
      <c r="L65" s="3"/>
      <c r="M65" s="3"/>
      <c r="N65" s="3"/>
      <c r="O65" s="3"/>
      <c r="P65" s="3"/>
    </row>
    <row r="66" spans="1:16" x14ac:dyDescent="0.2">
      <c r="A66" s="14">
        <v>240</v>
      </c>
      <c r="B66" s="14" t="s">
        <v>91</v>
      </c>
      <c r="C66" s="20"/>
      <c r="D66" s="20"/>
      <c r="E66" s="20"/>
      <c r="F66" s="20"/>
      <c r="G66" s="20"/>
      <c r="H66" s="20"/>
      <c r="I66" s="3"/>
      <c r="J66" s="3"/>
      <c r="K66" s="3"/>
      <c r="L66" s="3"/>
      <c r="M66" s="3"/>
      <c r="N66" s="3"/>
      <c r="O66" s="3"/>
      <c r="P66" s="3"/>
    </row>
    <row r="67" spans="1:16" x14ac:dyDescent="0.2">
      <c r="A67" s="2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">
      <c r="A68" s="2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">
      <c r="A69" s="2"/>
      <c r="B69" s="2"/>
      <c r="C69" s="3"/>
      <c r="D69" s="3"/>
      <c r="E69" s="3"/>
      <c r="F69" s="3"/>
      <c r="G69" s="3">
        <f>COUNTIF(G2:G66, "N/A")</f>
        <v>25</v>
      </c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">
      <c r="A70" s="2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">
      <c r="A71" s="2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">
      <c r="A72" s="2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">
      <c r="A73" s="2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">
      <c r="A74" s="2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">
      <c r="A75" s="2"/>
      <c r="B75" s="2"/>
      <c r="C75" s="3"/>
      <c r="D75" s="3"/>
      <c r="E75" s="3"/>
      <c r="F75" s="3"/>
      <c r="G75" s="3"/>
      <c r="H75" s="3"/>
      <c r="I75" s="3"/>
    </row>
    <row r="76" spans="1:16" x14ac:dyDescent="0.2">
      <c r="A76" s="2"/>
      <c r="B76" s="2"/>
      <c r="C76" s="3"/>
      <c r="D76" s="3"/>
      <c r="E76" s="3"/>
      <c r="F76" s="3"/>
      <c r="G76" s="3"/>
      <c r="H76" s="3"/>
      <c r="I76" s="3"/>
    </row>
    <row r="77" spans="1:16" x14ac:dyDescent="0.2">
      <c r="A77" s="2"/>
      <c r="B77" s="2"/>
      <c r="C77" s="3"/>
      <c r="D77" s="3"/>
      <c r="E77" s="3"/>
      <c r="F77" s="3"/>
      <c r="G77" s="3"/>
      <c r="H77" s="3"/>
      <c r="I77" s="3"/>
    </row>
    <row r="78" spans="1:16" x14ac:dyDescent="0.2">
      <c r="A78" s="2"/>
      <c r="B78" s="2"/>
      <c r="C78" s="3"/>
      <c r="D78" s="3"/>
      <c r="E78" s="3"/>
      <c r="F78" s="3"/>
      <c r="G78" s="3"/>
      <c r="H78" s="3"/>
      <c r="I78" s="3"/>
    </row>
    <row r="79" spans="1:16" x14ac:dyDescent="0.2">
      <c r="A79" s="2"/>
      <c r="B79" s="2"/>
      <c r="C79" s="3"/>
      <c r="D79" s="3"/>
      <c r="E79" s="3"/>
      <c r="F79" s="3"/>
      <c r="G79" s="3"/>
      <c r="H79" s="3"/>
      <c r="I79" s="3"/>
    </row>
    <row r="80" spans="1:16" x14ac:dyDescent="0.2">
      <c r="A80" s="2"/>
      <c r="B80" s="2"/>
      <c r="C80" s="3"/>
      <c r="D80" s="3"/>
      <c r="E80" s="3"/>
      <c r="F80" s="3"/>
      <c r="G80" s="3"/>
      <c r="H80" s="3"/>
      <c r="I80" s="3"/>
    </row>
    <row r="81" spans="1:9" x14ac:dyDescent="0.2">
      <c r="A81" s="2"/>
      <c r="B81" s="2"/>
      <c r="C81" s="3"/>
      <c r="D81" s="3"/>
      <c r="E81" s="3"/>
      <c r="F81" s="3"/>
      <c r="G81" s="3"/>
      <c r="H81" s="3"/>
      <c r="I81" s="3"/>
    </row>
    <row r="82" spans="1:9" x14ac:dyDescent="0.2">
      <c r="A82" s="2"/>
      <c r="B82" s="2"/>
      <c r="C82" s="3"/>
      <c r="D82" s="3"/>
      <c r="E82" s="3"/>
      <c r="F82" s="3"/>
      <c r="G82" s="3"/>
      <c r="H82" s="3"/>
      <c r="I82" s="3"/>
    </row>
    <row r="83" spans="1:9" x14ac:dyDescent="0.2">
      <c r="A83" s="2"/>
      <c r="B83" s="2"/>
      <c r="C83" s="3"/>
      <c r="D83" s="3"/>
      <c r="E83" s="3"/>
      <c r="F83" s="3"/>
      <c r="G83" s="3"/>
      <c r="H83" s="3"/>
      <c r="I83" s="3"/>
    </row>
    <row r="84" spans="1:9" x14ac:dyDescent="0.2">
      <c r="A84" s="2"/>
      <c r="B84" s="2"/>
      <c r="C84" s="3"/>
      <c r="D84" s="3"/>
      <c r="E84" s="3"/>
      <c r="F84" s="3"/>
      <c r="G84" s="3"/>
      <c r="H84" s="3"/>
      <c r="I84" s="3"/>
    </row>
    <row r="85" spans="1:9" x14ac:dyDescent="0.2">
      <c r="A85" s="2"/>
      <c r="B85" s="2"/>
      <c r="C85" s="3"/>
      <c r="D85" s="3"/>
      <c r="E85" s="3"/>
      <c r="F85" s="3"/>
      <c r="G85" s="3"/>
      <c r="H85" s="3"/>
      <c r="I85" s="3"/>
    </row>
    <row r="86" spans="1:9" x14ac:dyDescent="0.2">
      <c r="A86" s="2"/>
      <c r="B86" s="2"/>
      <c r="C86" s="3"/>
      <c r="D86" s="3"/>
      <c r="E86" s="3"/>
      <c r="F86" s="3"/>
      <c r="G86" s="3"/>
      <c r="H86" s="3"/>
      <c r="I86" s="3"/>
    </row>
    <row r="87" spans="1:9" x14ac:dyDescent="0.2">
      <c r="A87" s="2"/>
      <c r="B87" s="2"/>
      <c r="C87" s="3"/>
      <c r="D87" s="3"/>
      <c r="E87" s="3"/>
      <c r="F87" s="3"/>
      <c r="G87" s="3"/>
      <c r="H87" s="3"/>
      <c r="I87" s="3"/>
    </row>
    <row r="88" spans="1:9" x14ac:dyDescent="0.2">
      <c r="A88" s="2"/>
      <c r="B88" s="2"/>
      <c r="C88" s="3"/>
      <c r="D88" s="3"/>
      <c r="E88" s="3"/>
      <c r="F88" s="3"/>
      <c r="G88" s="3"/>
      <c r="H88" s="3"/>
      <c r="I88" s="3"/>
    </row>
    <row r="89" spans="1:9" x14ac:dyDescent="0.2">
      <c r="A89" s="2"/>
      <c r="B89" s="2"/>
      <c r="C89" s="3"/>
      <c r="D89" s="3"/>
      <c r="E89" s="3"/>
      <c r="F89" s="3"/>
      <c r="G89" s="3"/>
      <c r="H89" s="3"/>
      <c r="I89" s="3"/>
    </row>
    <row r="90" spans="1:9" x14ac:dyDescent="0.2">
      <c r="A90" s="2"/>
      <c r="B90" s="2"/>
      <c r="C90" s="3"/>
      <c r="D90" s="3"/>
      <c r="E90" s="3"/>
      <c r="F90" s="3"/>
      <c r="G90" s="3"/>
      <c r="H90" s="3"/>
      <c r="I90" s="3"/>
    </row>
    <row r="91" spans="1:9" x14ac:dyDescent="0.2">
      <c r="A91" s="2"/>
      <c r="B91" s="2"/>
      <c r="C91" s="3"/>
      <c r="D91" s="3"/>
      <c r="E91" s="3"/>
      <c r="F91" s="3"/>
      <c r="G91" s="3"/>
      <c r="H91" s="3"/>
      <c r="I91" s="3"/>
    </row>
    <row r="92" spans="1:9" x14ac:dyDescent="0.2">
      <c r="A92" s="2"/>
      <c r="B92" s="2"/>
      <c r="C92" s="3"/>
      <c r="D92" s="3"/>
      <c r="E92" s="3"/>
      <c r="F92" s="3"/>
      <c r="G92" s="3"/>
      <c r="H92" s="3"/>
      <c r="I92" s="3"/>
    </row>
    <row r="93" spans="1:9" x14ac:dyDescent="0.2">
      <c r="A93" s="2"/>
      <c r="B93" s="2"/>
      <c r="C93" s="3"/>
      <c r="D93" s="3"/>
      <c r="E93" s="3"/>
      <c r="F93" s="3"/>
      <c r="G93" s="3"/>
      <c r="H93" s="3"/>
      <c r="I93" s="3"/>
    </row>
    <row r="94" spans="1:9" x14ac:dyDescent="0.2">
      <c r="A94" s="2"/>
      <c r="B94" s="2"/>
      <c r="C94" s="3"/>
      <c r="D94" s="3"/>
      <c r="E94" s="3"/>
      <c r="F94" s="3"/>
      <c r="G94" s="3"/>
      <c r="H94" s="3"/>
      <c r="I94" s="3"/>
    </row>
    <row r="95" spans="1:9" x14ac:dyDescent="0.2">
      <c r="A95" s="2"/>
      <c r="B95" s="2"/>
      <c r="C95" s="3"/>
      <c r="D95" s="3"/>
      <c r="E95" s="3"/>
      <c r="F95" s="3"/>
      <c r="G95" s="3"/>
      <c r="H95" s="3"/>
      <c r="I95" s="3"/>
    </row>
    <row r="96" spans="1:9" x14ac:dyDescent="0.2">
      <c r="A96" s="2"/>
      <c r="B96" s="2"/>
      <c r="C96" s="3"/>
      <c r="D96" s="3"/>
      <c r="E96" s="3"/>
      <c r="F96" s="3"/>
      <c r="G96" s="3"/>
      <c r="H96" s="3"/>
      <c r="I96" s="3"/>
    </row>
    <row r="97" spans="1:9" x14ac:dyDescent="0.2">
      <c r="A97" s="2"/>
      <c r="B97" s="2"/>
      <c r="C97" s="3"/>
      <c r="D97" s="3"/>
      <c r="E97" s="3"/>
      <c r="F97" s="3"/>
      <c r="G97" s="3"/>
      <c r="H97" s="3"/>
      <c r="I97" s="3"/>
    </row>
    <row r="98" spans="1:9" x14ac:dyDescent="0.2">
      <c r="A98" s="2"/>
      <c r="B98" s="2"/>
      <c r="C98" s="3"/>
      <c r="D98" s="3"/>
      <c r="E98" s="3"/>
      <c r="F98" s="3"/>
      <c r="G98" s="3"/>
      <c r="H98" s="3"/>
      <c r="I98" s="3"/>
    </row>
    <row r="99" spans="1:9" x14ac:dyDescent="0.2">
      <c r="A99" s="2"/>
      <c r="B99" s="2"/>
      <c r="C99" s="3"/>
      <c r="D99" s="3"/>
      <c r="E99" s="3"/>
      <c r="F99" s="3"/>
      <c r="G99" s="3"/>
      <c r="H99" s="3"/>
      <c r="I99" s="3"/>
    </row>
    <row r="100" spans="1:9" x14ac:dyDescent="0.2">
      <c r="A100" s="2"/>
      <c r="B100" s="2"/>
      <c r="C100" s="3"/>
      <c r="D100" s="3"/>
      <c r="E100" s="3"/>
      <c r="F100" s="3"/>
      <c r="G100" s="3"/>
      <c r="H100" s="3"/>
      <c r="I100" s="3"/>
    </row>
    <row r="101" spans="1:9" x14ac:dyDescent="0.2">
      <c r="A101" s="2"/>
      <c r="B101" s="2"/>
      <c r="C101" s="3"/>
      <c r="D101" s="3"/>
      <c r="E101" s="3"/>
      <c r="F101" s="3"/>
      <c r="G101" s="3"/>
      <c r="H101" s="3"/>
      <c r="I101" s="3"/>
    </row>
    <row r="102" spans="1:9" x14ac:dyDescent="0.2">
      <c r="A102" s="2"/>
      <c r="B102" s="2"/>
      <c r="C102" s="3"/>
      <c r="D102" s="3"/>
      <c r="E102" s="3"/>
      <c r="F102" s="3"/>
      <c r="G102" s="3"/>
      <c r="H102" s="3"/>
      <c r="I102" s="3"/>
    </row>
    <row r="103" spans="1:9" x14ac:dyDescent="0.2">
      <c r="A103" s="2"/>
      <c r="B103" s="2"/>
      <c r="C103" s="3"/>
      <c r="D103" s="3"/>
      <c r="E103" s="3"/>
      <c r="F103" s="3"/>
      <c r="G103" s="3"/>
      <c r="H103" s="3"/>
      <c r="I103" s="3"/>
    </row>
    <row r="104" spans="1:9" x14ac:dyDescent="0.2">
      <c r="A104" s="2"/>
      <c r="B104" s="2"/>
      <c r="C104" s="3"/>
      <c r="D104" s="3"/>
      <c r="E104" s="3"/>
      <c r="F104" s="3"/>
      <c r="G104" s="3"/>
      <c r="H104" s="3"/>
      <c r="I104" s="3"/>
    </row>
    <row r="105" spans="1:9" x14ac:dyDescent="0.2">
      <c r="A105" s="2"/>
      <c r="B105" s="2"/>
      <c r="C105" s="3"/>
      <c r="D105" s="3"/>
      <c r="E105" s="3"/>
      <c r="F105" s="3"/>
      <c r="G105" s="3"/>
      <c r="H105" s="3"/>
      <c r="I105" s="3"/>
    </row>
    <row r="106" spans="1:9" x14ac:dyDescent="0.2">
      <c r="A106" s="2"/>
      <c r="B106" s="2"/>
      <c r="C106" s="3"/>
      <c r="D106" s="3"/>
      <c r="E106" s="3"/>
      <c r="F106" s="3"/>
      <c r="G106" s="3"/>
      <c r="H106" s="3"/>
      <c r="I106" s="3"/>
    </row>
    <row r="107" spans="1:9" x14ac:dyDescent="0.2">
      <c r="A107" s="2"/>
      <c r="B107" s="2"/>
      <c r="C107" s="3"/>
      <c r="D107" s="3"/>
      <c r="E107" s="3"/>
      <c r="F107" s="3"/>
      <c r="G107" s="3"/>
      <c r="H107" s="3"/>
      <c r="I107" s="3"/>
    </row>
    <row r="108" spans="1:9" x14ac:dyDescent="0.2">
      <c r="A108" s="2"/>
      <c r="B108" s="2"/>
      <c r="C108" s="3"/>
      <c r="D108" s="3"/>
      <c r="E108" s="3"/>
      <c r="F108" s="3"/>
      <c r="G108" s="3"/>
      <c r="H108" s="3"/>
      <c r="I108" s="3"/>
    </row>
    <row r="109" spans="1:9" x14ac:dyDescent="0.2">
      <c r="A109" s="2"/>
      <c r="B109" s="2"/>
      <c r="C109" s="3"/>
      <c r="D109" s="3"/>
      <c r="E109" s="3"/>
      <c r="F109" s="3"/>
      <c r="G109" s="3"/>
      <c r="H109" s="3"/>
      <c r="I109" s="3"/>
    </row>
    <row r="110" spans="1:9" x14ac:dyDescent="0.2">
      <c r="A110" s="2"/>
      <c r="B110" s="2"/>
      <c r="C110" s="3"/>
      <c r="D110" s="3"/>
      <c r="E110" s="3"/>
      <c r="F110" s="3"/>
      <c r="G110" s="3"/>
      <c r="H110" s="3"/>
      <c r="I110" s="3"/>
    </row>
    <row r="111" spans="1:9" x14ac:dyDescent="0.2">
      <c r="A111" s="2"/>
      <c r="B111" s="2"/>
      <c r="C111" s="3"/>
      <c r="D111" s="3"/>
      <c r="E111" s="3"/>
      <c r="F111" s="3"/>
      <c r="G111" s="3"/>
      <c r="H111" s="3"/>
      <c r="I111" s="3"/>
    </row>
    <row r="112" spans="1:9" x14ac:dyDescent="0.2">
      <c r="A112" s="2"/>
      <c r="B112" s="2"/>
      <c r="C112" s="3"/>
      <c r="D112" s="3"/>
      <c r="E112" s="3"/>
      <c r="F112" s="3"/>
      <c r="G112" s="3"/>
      <c r="H112" s="3"/>
      <c r="I112" s="3"/>
    </row>
    <row r="113" spans="1:9" x14ac:dyDescent="0.2">
      <c r="A113" s="2"/>
      <c r="B113" s="2"/>
      <c r="C113" s="3"/>
      <c r="D113" s="3"/>
      <c r="E113" s="3"/>
      <c r="F113" s="3"/>
      <c r="G113" s="3"/>
      <c r="H113" s="3"/>
      <c r="I113" s="3"/>
    </row>
    <row r="114" spans="1:9" x14ac:dyDescent="0.2">
      <c r="A114" s="2"/>
      <c r="B114" s="2"/>
      <c r="C114" s="3"/>
      <c r="D114" s="3"/>
      <c r="E114" s="3"/>
      <c r="F114" s="3"/>
      <c r="G114" s="3"/>
      <c r="H114" s="3"/>
      <c r="I114" s="3"/>
    </row>
    <row r="115" spans="1:9" x14ac:dyDescent="0.2">
      <c r="A115" s="2"/>
      <c r="B115" s="2"/>
      <c r="C115" s="3"/>
      <c r="D115" s="3"/>
      <c r="E115" s="3"/>
      <c r="F115" s="3"/>
      <c r="G115" s="3"/>
      <c r="H115" s="3"/>
      <c r="I115" s="3"/>
    </row>
    <row r="116" spans="1:9" x14ac:dyDescent="0.2">
      <c r="A116" s="2"/>
      <c r="B116" s="2"/>
      <c r="C116" s="3"/>
      <c r="D116" s="3"/>
      <c r="E116" s="3"/>
      <c r="F116" s="3"/>
      <c r="G116" s="3"/>
      <c r="H116" s="3"/>
      <c r="I116" s="3"/>
    </row>
    <row r="117" spans="1:9" x14ac:dyDescent="0.2">
      <c r="A117" s="2"/>
      <c r="B117" s="2"/>
      <c r="C117" s="3"/>
      <c r="D117" s="3"/>
      <c r="E117" s="3"/>
      <c r="F117" s="3"/>
      <c r="G117" s="3"/>
      <c r="H117" s="3"/>
      <c r="I117" s="3"/>
    </row>
    <row r="118" spans="1:9" x14ac:dyDescent="0.2">
      <c r="A118" s="2"/>
      <c r="B118" s="2"/>
      <c r="C118" s="3"/>
      <c r="D118" s="3"/>
      <c r="E118" s="3"/>
      <c r="F118" s="3"/>
      <c r="G118" s="3"/>
      <c r="H118" s="3"/>
      <c r="I118" s="3"/>
    </row>
    <row r="119" spans="1:9" x14ac:dyDescent="0.2">
      <c r="A119" s="2"/>
      <c r="B119" s="2"/>
      <c r="C119" s="3"/>
      <c r="D119" s="3"/>
      <c r="E119" s="3"/>
      <c r="F119" s="3"/>
      <c r="G119" s="3"/>
      <c r="H119" s="3"/>
      <c r="I119" s="3"/>
    </row>
    <row r="120" spans="1:9" x14ac:dyDescent="0.2">
      <c r="A120" s="2"/>
      <c r="B120" s="2"/>
      <c r="C120" s="3"/>
      <c r="D120" s="3"/>
      <c r="E120" s="3"/>
      <c r="F120" s="3"/>
      <c r="G120" s="3"/>
      <c r="H120" s="3"/>
      <c r="I120" s="3"/>
    </row>
    <row r="121" spans="1:9" x14ac:dyDescent="0.2">
      <c r="A121" s="2"/>
      <c r="B121" s="2"/>
      <c r="C121" s="3"/>
      <c r="D121" s="3"/>
      <c r="E121" s="3"/>
      <c r="F121" s="3"/>
      <c r="G121" s="3"/>
      <c r="H121" s="3"/>
      <c r="I121" s="3"/>
    </row>
    <row r="122" spans="1:9" x14ac:dyDescent="0.2">
      <c r="A122" s="2"/>
      <c r="B122" s="2"/>
      <c r="C122" s="3"/>
      <c r="D122" s="3"/>
      <c r="E122" s="3"/>
      <c r="F122" s="3"/>
      <c r="G122" s="3"/>
      <c r="H122" s="3"/>
      <c r="I122" s="3"/>
    </row>
    <row r="123" spans="1:9" x14ac:dyDescent="0.2">
      <c r="A123" s="2"/>
      <c r="B123" s="2"/>
      <c r="C123" s="3"/>
      <c r="D123" s="3"/>
      <c r="E123" s="3"/>
      <c r="F123" s="3"/>
      <c r="G123" s="3"/>
      <c r="H123" s="3"/>
      <c r="I123" s="3"/>
    </row>
    <row r="124" spans="1:9" x14ac:dyDescent="0.2">
      <c r="A124" s="2"/>
      <c r="B124" s="2"/>
      <c r="C124" s="3"/>
      <c r="D124" s="3"/>
      <c r="E124" s="3"/>
      <c r="F124" s="3"/>
      <c r="G124" s="3"/>
      <c r="H124" s="3"/>
      <c r="I124" s="3"/>
    </row>
    <row r="125" spans="1:9" x14ac:dyDescent="0.2">
      <c r="A125" s="2"/>
      <c r="B125" s="2"/>
      <c r="C125" s="3"/>
      <c r="D125" s="3"/>
      <c r="E125" s="3"/>
      <c r="F125" s="3"/>
      <c r="G125" s="3"/>
      <c r="H125" s="3"/>
      <c r="I125" s="3"/>
    </row>
    <row r="126" spans="1:9" x14ac:dyDescent="0.2">
      <c r="A126" s="2"/>
      <c r="B126" s="2"/>
      <c r="C126" s="3"/>
      <c r="D126" s="3"/>
      <c r="E126" s="3"/>
      <c r="F126" s="3"/>
      <c r="G126" s="3"/>
      <c r="H126" s="3"/>
      <c r="I126" s="3"/>
    </row>
    <row r="127" spans="1:9" x14ac:dyDescent="0.2">
      <c r="A127" s="2"/>
      <c r="B127" s="2"/>
      <c r="C127" s="3"/>
      <c r="D127" s="3"/>
      <c r="E127" s="3"/>
      <c r="F127" s="3"/>
      <c r="G127" s="3"/>
      <c r="H127" s="3"/>
      <c r="I127" s="3"/>
    </row>
    <row r="128" spans="1:9" x14ac:dyDescent="0.2">
      <c r="A128" s="2"/>
      <c r="B128" s="2"/>
      <c r="C128" s="3"/>
      <c r="D128" s="3"/>
      <c r="E128" s="3"/>
      <c r="F128" s="3"/>
      <c r="G128" s="3"/>
      <c r="H128" s="3"/>
      <c r="I128" s="3"/>
    </row>
    <row r="129" spans="1:9" x14ac:dyDescent="0.2">
      <c r="A129" s="2"/>
      <c r="B129" s="2"/>
      <c r="C129" s="3"/>
      <c r="D129" s="3"/>
      <c r="E129" s="3"/>
      <c r="F129" s="3"/>
      <c r="G129" s="3"/>
      <c r="H129" s="3"/>
      <c r="I129" s="3"/>
    </row>
    <row r="130" spans="1:9" x14ac:dyDescent="0.2">
      <c r="A130" s="2"/>
      <c r="B130" s="2"/>
      <c r="C130" s="3"/>
      <c r="D130" s="3"/>
      <c r="E130" s="3"/>
      <c r="F130" s="3"/>
      <c r="G130" s="3"/>
      <c r="H130" s="3"/>
      <c r="I130" s="3"/>
    </row>
    <row r="131" spans="1:9" x14ac:dyDescent="0.2">
      <c r="A131" s="2"/>
      <c r="B131" s="2"/>
      <c r="C131" s="3"/>
      <c r="D131" s="3"/>
      <c r="E131" s="3"/>
      <c r="F131" s="3"/>
      <c r="G131" s="3"/>
      <c r="H131" s="3"/>
      <c r="I131" s="3"/>
    </row>
    <row r="132" spans="1:9" x14ac:dyDescent="0.2">
      <c r="A132" s="2"/>
      <c r="B132" s="2"/>
      <c r="C132" s="3"/>
      <c r="D132" s="3"/>
      <c r="E132" s="3"/>
      <c r="F132" s="3"/>
      <c r="G132" s="3"/>
      <c r="H132" s="3"/>
      <c r="I132" s="3"/>
    </row>
    <row r="133" spans="1:9" x14ac:dyDescent="0.2">
      <c r="A133" s="2"/>
      <c r="B133" s="2"/>
      <c r="C133" s="3"/>
      <c r="D133" s="3"/>
      <c r="E133" s="3"/>
      <c r="F133" s="3"/>
      <c r="G133" s="3"/>
      <c r="H133" s="3"/>
      <c r="I133" s="3"/>
    </row>
    <row r="134" spans="1:9" x14ac:dyDescent="0.2">
      <c r="A134" s="2"/>
      <c r="B134" s="2"/>
      <c r="C134" s="3"/>
      <c r="D134" s="3"/>
      <c r="E134" s="3"/>
      <c r="F134" s="3"/>
      <c r="G134" s="3"/>
      <c r="H134" s="3"/>
      <c r="I134" s="3"/>
    </row>
    <row r="135" spans="1:9" x14ac:dyDescent="0.2">
      <c r="A135" s="2"/>
      <c r="B135" s="2"/>
      <c r="C135" s="3"/>
      <c r="D135" s="3"/>
      <c r="E135" s="3"/>
      <c r="F135" s="3"/>
      <c r="G135" s="3"/>
      <c r="H135" s="3"/>
      <c r="I135" s="3"/>
    </row>
    <row r="136" spans="1:9" x14ac:dyDescent="0.2">
      <c r="A136" s="2"/>
      <c r="B136" s="2"/>
      <c r="C136" s="3"/>
      <c r="D136" s="3"/>
      <c r="E136" s="3"/>
      <c r="F136" s="3"/>
      <c r="G136" s="3"/>
      <c r="H136" s="3"/>
      <c r="I136" s="3"/>
    </row>
    <row r="137" spans="1:9" x14ac:dyDescent="0.2">
      <c r="A137" s="2"/>
      <c r="B137" s="2"/>
      <c r="C137" s="3"/>
      <c r="D137" s="3"/>
      <c r="E137" s="3"/>
      <c r="F137" s="3"/>
      <c r="G137" s="3"/>
      <c r="H137" s="3"/>
      <c r="I137" s="3"/>
    </row>
    <row r="138" spans="1:9" x14ac:dyDescent="0.2">
      <c r="A138" s="2"/>
      <c r="B138" s="2"/>
      <c r="C138" s="3"/>
      <c r="D138" s="3"/>
      <c r="E138" s="3"/>
      <c r="F138" s="3"/>
      <c r="G138" s="3"/>
      <c r="H138" s="3"/>
      <c r="I138" s="3"/>
    </row>
    <row r="139" spans="1:9" x14ac:dyDescent="0.2">
      <c r="A139" s="2"/>
      <c r="B139" s="2"/>
      <c r="C139" s="3"/>
      <c r="D139" s="3"/>
      <c r="E139" s="3"/>
      <c r="F139" s="3"/>
      <c r="G139" s="3"/>
      <c r="H139" s="3"/>
      <c r="I139" s="3"/>
    </row>
    <row r="140" spans="1:9" x14ac:dyDescent="0.2">
      <c r="A140" s="2"/>
      <c r="B140" s="2"/>
      <c r="C140" s="3"/>
      <c r="D140" s="3"/>
      <c r="E140" s="3"/>
      <c r="F140" s="3"/>
      <c r="G140" s="3"/>
      <c r="H140" s="3"/>
      <c r="I140" s="3"/>
    </row>
    <row r="141" spans="1:9" x14ac:dyDescent="0.2">
      <c r="A141" s="2"/>
      <c r="B141" s="2"/>
      <c r="C141" s="3"/>
      <c r="D141" s="3"/>
      <c r="E141" s="3"/>
      <c r="F141" s="3"/>
      <c r="G141" s="3"/>
      <c r="H141" s="3"/>
      <c r="I141" s="3"/>
    </row>
    <row r="142" spans="1:9" x14ac:dyDescent="0.2">
      <c r="A142" s="2"/>
      <c r="B142" s="2"/>
      <c r="C142" s="3"/>
      <c r="D142" s="3"/>
      <c r="E142" s="3"/>
      <c r="F142" s="3"/>
      <c r="G142" s="3"/>
      <c r="H142" s="3"/>
      <c r="I142" s="3"/>
    </row>
    <row r="143" spans="1:9" x14ac:dyDescent="0.2">
      <c r="A143" s="2"/>
      <c r="B143" s="2"/>
      <c r="C143" s="3"/>
      <c r="D143" s="3"/>
      <c r="E143" s="3"/>
      <c r="F143" s="3"/>
      <c r="G143" s="3"/>
      <c r="H143" s="3"/>
      <c r="I143" s="3"/>
    </row>
    <row r="144" spans="1:9" x14ac:dyDescent="0.2">
      <c r="A144" s="2"/>
      <c r="B144" s="2"/>
      <c r="C144" s="3"/>
      <c r="D144" s="3"/>
      <c r="E144" s="3"/>
      <c r="F144" s="3"/>
      <c r="G144" s="3"/>
      <c r="H144" s="3"/>
      <c r="I144" s="3"/>
    </row>
    <row r="145" spans="1:9" x14ac:dyDescent="0.2">
      <c r="A145" s="2"/>
      <c r="B145" s="2"/>
      <c r="C145" s="3"/>
      <c r="D145" s="3"/>
      <c r="E145" s="3"/>
      <c r="F145" s="3"/>
      <c r="G145" s="3"/>
      <c r="H145" s="3"/>
      <c r="I145" s="3"/>
    </row>
    <row r="146" spans="1:9" x14ac:dyDescent="0.2">
      <c r="A146" s="2"/>
      <c r="B146" s="2"/>
      <c r="C146" s="3"/>
      <c r="D146" s="3"/>
      <c r="E146" s="3"/>
      <c r="F146" s="3"/>
      <c r="G146" s="3"/>
      <c r="H146" s="3"/>
      <c r="I146" s="3"/>
    </row>
    <row r="147" spans="1:9" x14ac:dyDescent="0.2">
      <c r="A147" s="2"/>
      <c r="B147" s="2"/>
      <c r="C147" s="3"/>
      <c r="D147" s="3"/>
      <c r="E147" s="3"/>
      <c r="F147" s="3"/>
      <c r="G147" s="3"/>
      <c r="H147" s="3"/>
      <c r="I147" s="3"/>
    </row>
    <row r="148" spans="1:9" x14ac:dyDescent="0.2">
      <c r="A148" s="2"/>
      <c r="B148" s="2"/>
      <c r="C148" s="3"/>
      <c r="D148" s="3"/>
      <c r="E148" s="3"/>
      <c r="F148" s="3"/>
      <c r="G148" s="3"/>
      <c r="H148" s="3"/>
      <c r="I148" s="3"/>
    </row>
    <row r="149" spans="1:9" x14ac:dyDescent="0.2">
      <c r="A149" s="2"/>
      <c r="B149" s="2"/>
      <c r="C149" s="3"/>
      <c r="D149" s="3"/>
      <c r="E149" s="3"/>
      <c r="F149" s="3"/>
      <c r="G149" s="3"/>
      <c r="H149" s="3"/>
      <c r="I149" s="3"/>
    </row>
    <row r="150" spans="1:9" x14ac:dyDescent="0.2">
      <c r="A150" s="2"/>
      <c r="B150" s="2"/>
      <c r="C150" s="3"/>
      <c r="D150" s="3"/>
      <c r="E150" s="3"/>
      <c r="F150" s="3"/>
      <c r="G150" s="3"/>
      <c r="H150" s="3"/>
      <c r="I150" s="3"/>
    </row>
    <row r="151" spans="1:9" x14ac:dyDescent="0.2">
      <c r="A151" s="2"/>
      <c r="B151" s="2"/>
      <c r="C151" s="3"/>
      <c r="D151" s="3"/>
      <c r="E151" s="3"/>
      <c r="F151" s="3"/>
      <c r="G151" s="3"/>
      <c r="H151" s="3"/>
      <c r="I151" s="3"/>
    </row>
    <row r="152" spans="1:9" x14ac:dyDescent="0.2">
      <c r="A152" s="2"/>
      <c r="B152" s="2"/>
      <c r="C152" s="3"/>
      <c r="D152" s="3"/>
      <c r="E152" s="3"/>
      <c r="F152" s="3"/>
      <c r="G152" s="3"/>
      <c r="H152" s="3"/>
      <c r="I152" s="3"/>
    </row>
    <row r="153" spans="1:9" x14ac:dyDescent="0.2">
      <c r="A153" s="2"/>
      <c r="B153" s="2"/>
      <c r="C153" s="3"/>
      <c r="D153" s="3"/>
      <c r="E153" s="3"/>
      <c r="F153" s="3"/>
      <c r="G153" s="3"/>
      <c r="H153" s="3"/>
      <c r="I153" s="3"/>
    </row>
    <row r="154" spans="1:9" x14ac:dyDescent="0.2">
      <c r="A154" s="2"/>
      <c r="B154" s="2"/>
      <c r="C154" s="3"/>
      <c r="D154" s="3"/>
      <c r="E154" s="3"/>
      <c r="F154" s="3"/>
      <c r="G154" s="3"/>
      <c r="H154" s="3"/>
      <c r="I154" s="3"/>
    </row>
    <row r="155" spans="1:9" x14ac:dyDescent="0.2">
      <c r="A155" s="2"/>
      <c r="B155" s="2"/>
      <c r="C155" s="3"/>
      <c r="D155" s="3"/>
      <c r="E155" s="3"/>
      <c r="F155" s="3"/>
      <c r="G155" s="3"/>
      <c r="H155" s="3"/>
      <c r="I155" s="3"/>
    </row>
    <row r="156" spans="1:9" x14ac:dyDescent="0.2">
      <c r="A156" s="2"/>
      <c r="B156" s="2"/>
      <c r="C156" s="3"/>
      <c r="D156" s="3"/>
      <c r="E156" s="3"/>
      <c r="F156" s="3"/>
      <c r="G156" s="3"/>
      <c r="H156" s="3"/>
      <c r="I156" s="3"/>
    </row>
    <row r="157" spans="1:9" x14ac:dyDescent="0.2">
      <c r="A157" s="2"/>
      <c r="B157" s="2"/>
      <c r="C157" s="3"/>
      <c r="D157" s="3"/>
      <c r="E157" s="3"/>
      <c r="F157" s="3"/>
      <c r="G157" s="3"/>
      <c r="H157" s="3"/>
      <c r="I157" s="3"/>
    </row>
    <row r="158" spans="1:9" x14ac:dyDescent="0.2">
      <c r="A158" s="2"/>
      <c r="B158" s="2"/>
      <c r="C158" s="3"/>
      <c r="D158" s="3"/>
      <c r="E158" s="3"/>
      <c r="F158" s="3"/>
      <c r="G158" s="3"/>
      <c r="H158" s="3"/>
      <c r="I158" s="3"/>
    </row>
    <row r="159" spans="1:9" x14ac:dyDescent="0.2">
      <c r="A159" s="2"/>
      <c r="B159" s="2"/>
      <c r="C159" s="3"/>
      <c r="D159" s="3"/>
      <c r="E159" s="3"/>
      <c r="F159" s="3"/>
      <c r="G159" s="3"/>
      <c r="H159" s="3"/>
      <c r="I159" s="3"/>
    </row>
    <row r="160" spans="1:9" x14ac:dyDescent="0.2">
      <c r="A160" s="2"/>
      <c r="B160" s="2"/>
      <c r="C160" s="3"/>
      <c r="D160" s="3"/>
      <c r="E160" s="3"/>
      <c r="F160" s="3"/>
      <c r="G160" s="3"/>
      <c r="H160" s="3"/>
      <c r="I160" s="3"/>
    </row>
    <row r="161" spans="1:9" x14ac:dyDescent="0.2">
      <c r="A161" s="2"/>
      <c r="B161" s="2"/>
      <c r="C161" s="3"/>
      <c r="D161" s="3"/>
      <c r="E161" s="3"/>
      <c r="F161" s="3"/>
      <c r="G161" s="3"/>
      <c r="H161" s="3"/>
      <c r="I161" s="3"/>
    </row>
    <row r="162" spans="1:9" x14ac:dyDescent="0.2">
      <c r="A162" s="2"/>
      <c r="B162" s="2"/>
      <c r="C162" s="3"/>
      <c r="D162" s="3"/>
      <c r="E162" s="3"/>
      <c r="F162" s="3"/>
      <c r="G162" s="3"/>
      <c r="H162" s="3"/>
      <c r="I162" s="3"/>
    </row>
    <row r="163" spans="1:9" x14ac:dyDescent="0.2">
      <c r="A163" s="2"/>
      <c r="B163" s="2"/>
      <c r="C163" s="3"/>
      <c r="D163" s="3"/>
      <c r="E163" s="3"/>
      <c r="F163" s="3"/>
      <c r="G163" s="3"/>
      <c r="H163" s="3"/>
      <c r="I163" s="3"/>
    </row>
    <row r="164" spans="1:9" x14ac:dyDescent="0.2">
      <c r="A164" s="2"/>
      <c r="B164" s="2"/>
      <c r="C164" s="3"/>
      <c r="D164" s="3"/>
      <c r="E164" s="3"/>
      <c r="F164" s="3"/>
      <c r="G164" s="3"/>
      <c r="H164" s="3"/>
      <c r="I164" s="3"/>
    </row>
    <row r="165" spans="1:9" x14ac:dyDescent="0.2">
      <c r="A165" s="2"/>
      <c r="B165" s="2"/>
      <c r="C165" s="3"/>
      <c r="D165" s="3"/>
      <c r="E165" s="3"/>
      <c r="F165" s="3"/>
      <c r="G165" s="3"/>
      <c r="H165" s="3"/>
      <c r="I165" s="3"/>
    </row>
    <row r="166" spans="1:9" x14ac:dyDescent="0.2">
      <c r="A166" s="2"/>
      <c r="B166" s="2"/>
      <c r="C166" s="3"/>
      <c r="D166" s="3"/>
      <c r="E166" s="3"/>
      <c r="F166" s="3"/>
      <c r="G166" s="3"/>
      <c r="H166" s="3"/>
      <c r="I166" s="3"/>
    </row>
    <row r="167" spans="1:9" x14ac:dyDescent="0.2">
      <c r="A167" s="2"/>
      <c r="B167" s="2"/>
      <c r="C167" s="3"/>
      <c r="D167" s="3"/>
      <c r="E167" s="3"/>
      <c r="F167" s="3"/>
      <c r="G167" s="3"/>
      <c r="H167" s="3"/>
      <c r="I167" s="3"/>
    </row>
    <row r="168" spans="1:9" x14ac:dyDescent="0.2">
      <c r="A168" s="2"/>
      <c r="B168" s="2"/>
      <c r="C168" s="3"/>
      <c r="D168" s="3"/>
      <c r="E168" s="3"/>
      <c r="F168" s="3"/>
      <c r="G168" s="3"/>
      <c r="H168" s="3"/>
      <c r="I168" s="3"/>
    </row>
    <row r="169" spans="1:9" x14ac:dyDescent="0.2">
      <c r="A169" s="2"/>
      <c r="B169" s="2"/>
      <c r="C169" s="3"/>
      <c r="D169" s="3"/>
      <c r="E169" s="3"/>
      <c r="F169" s="3"/>
      <c r="G169" s="3"/>
      <c r="H169" s="3"/>
      <c r="I169" s="3"/>
    </row>
    <row r="170" spans="1:9" x14ac:dyDescent="0.2">
      <c r="A170" s="2"/>
      <c r="B170" s="2"/>
      <c r="C170" s="3"/>
      <c r="D170" s="3"/>
      <c r="E170" s="3"/>
      <c r="F170" s="3"/>
      <c r="G170" s="3"/>
      <c r="H170" s="3"/>
      <c r="I170" s="3"/>
    </row>
    <row r="171" spans="1:9" x14ac:dyDescent="0.2">
      <c r="A171" s="2"/>
      <c r="B171" s="2"/>
      <c r="C171" s="3"/>
      <c r="D171" s="3"/>
      <c r="E171" s="3"/>
      <c r="F171" s="3"/>
      <c r="G171" s="3"/>
      <c r="H171" s="3"/>
      <c r="I171" s="3"/>
    </row>
    <row r="172" spans="1:9" x14ac:dyDescent="0.2">
      <c r="A172" s="2"/>
      <c r="B172" s="2"/>
      <c r="C172" s="3"/>
      <c r="D172" s="3"/>
      <c r="E172" s="3"/>
      <c r="F172" s="3"/>
      <c r="G172" s="3"/>
      <c r="H172" s="3"/>
      <c r="I172" s="3"/>
    </row>
    <row r="173" spans="1:9" x14ac:dyDescent="0.2">
      <c r="A173" s="2"/>
      <c r="B173" s="2"/>
      <c r="C173" s="3"/>
      <c r="D173" s="3"/>
      <c r="E173" s="3"/>
      <c r="F173" s="3"/>
      <c r="G173" s="3"/>
      <c r="H173" s="3"/>
      <c r="I173" s="3"/>
    </row>
    <row r="174" spans="1:9" x14ac:dyDescent="0.2">
      <c r="A174" s="2"/>
      <c r="B174" s="2"/>
      <c r="C174" s="3"/>
      <c r="D174" s="3"/>
      <c r="E174" s="3"/>
      <c r="F174" s="3"/>
      <c r="G174" s="3"/>
      <c r="H174" s="3"/>
      <c r="I174" s="3"/>
    </row>
    <row r="175" spans="1:9" x14ac:dyDescent="0.2">
      <c r="A175" s="2"/>
      <c r="B175" s="2"/>
      <c r="C175" s="3"/>
      <c r="D175" s="3"/>
      <c r="E175" s="3"/>
      <c r="F175" s="3"/>
      <c r="G175" s="3"/>
      <c r="H175" s="3"/>
      <c r="I175" s="3"/>
    </row>
    <row r="176" spans="1:9" x14ac:dyDescent="0.2">
      <c r="A176" s="2"/>
      <c r="B176" s="2"/>
      <c r="C176" s="3"/>
      <c r="D176" s="3"/>
      <c r="E176" s="3"/>
      <c r="F176" s="3"/>
      <c r="G176" s="3"/>
      <c r="H176" s="3"/>
      <c r="I176" s="3"/>
    </row>
    <row r="177" spans="1:9" x14ac:dyDescent="0.2">
      <c r="A177" s="2"/>
      <c r="B177" s="2"/>
      <c r="C177" s="3"/>
      <c r="D177" s="3"/>
      <c r="E177" s="3"/>
      <c r="F177" s="3"/>
      <c r="G177" s="3"/>
      <c r="H177" s="3"/>
      <c r="I177" s="3"/>
    </row>
    <row r="178" spans="1:9" x14ac:dyDescent="0.2">
      <c r="A178" s="2"/>
      <c r="B178" s="2"/>
      <c r="C178" s="3"/>
      <c r="D178" s="3"/>
      <c r="E178" s="3"/>
      <c r="F178" s="3"/>
      <c r="G178" s="3"/>
      <c r="H178" s="3"/>
      <c r="I178" s="3"/>
    </row>
    <row r="179" spans="1:9" x14ac:dyDescent="0.2">
      <c r="A179" s="2"/>
      <c r="B179" s="2"/>
      <c r="C179" s="3"/>
      <c r="D179" s="3"/>
      <c r="E179" s="3"/>
      <c r="F179" s="3"/>
      <c r="G179" s="3"/>
      <c r="H179" s="3"/>
      <c r="I179" s="3"/>
    </row>
    <row r="180" spans="1:9" x14ac:dyDescent="0.2">
      <c r="A180" s="2"/>
      <c r="B180" s="2"/>
      <c r="C180" s="3"/>
      <c r="D180" s="3"/>
      <c r="E180" s="3"/>
      <c r="F180" s="3"/>
      <c r="G180" s="3"/>
      <c r="H180" s="3"/>
      <c r="I180" s="3"/>
    </row>
    <row r="181" spans="1:9" x14ac:dyDescent="0.2">
      <c r="A181" s="2"/>
      <c r="B181" s="2"/>
      <c r="C181" s="3"/>
      <c r="D181" s="3"/>
      <c r="E181" s="3"/>
      <c r="F181" s="3"/>
      <c r="G181" s="3"/>
      <c r="H181" s="3"/>
      <c r="I181" s="3"/>
    </row>
    <row r="182" spans="1:9" x14ac:dyDescent="0.2">
      <c r="A182" s="2"/>
      <c r="B182" s="2"/>
      <c r="C182" s="3"/>
      <c r="D182" s="3"/>
      <c r="E182" s="3"/>
      <c r="F182" s="3"/>
      <c r="G182" s="3"/>
      <c r="H182" s="3"/>
      <c r="I182" s="3"/>
    </row>
    <row r="183" spans="1:9" x14ac:dyDescent="0.2">
      <c r="A183" s="2"/>
      <c r="B183" s="2"/>
      <c r="C183" s="3"/>
      <c r="D183" s="3"/>
      <c r="E183" s="3"/>
      <c r="F183" s="3"/>
      <c r="G183" s="3"/>
      <c r="H183" s="3"/>
      <c r="I183" s="3"/>
    </row>
    <row r="184" spans="1:9" x14ac:dyDescent="0.2">
      <c r="A184" s="2"/>
      <c r="B184" s="2"/>
      <c r="C184" s="3"/>
      <c r="D184" s="3"/>
      <c r="E184" s="3"/>
      <c r="F184" s="3"/>
      <c r="G184" s="3"/>
      <c r="H184" s="3"/>
      <c r="I184" s="3"/>
    </row>
    <row r="185" spans="1:9" x14ac:dyDescent="0.2">
      <c r="A185" s="2"/>
      <c r="B185" s="2"/>
      <c r="C185" s="3"/>
      <c r="D185" s="3"/>
      <c r="E185" s="3"/>
      <c r="F185" s="3"/>
      <c r="G185" s="3"/>
      <c r="H185" s="3"/>
      <c r="I185" s="3"/>
    </row>
    <row r="186" spans="1:9" x14ac:dyDescent="0.2">
      <c r="A186" s="2"/>
      <c r="B186" s="2"/>
      <c r="C186" s="3"/>
      <c r="D186" s="3"/>
      <c r="E186" s="3"/>
      <c r="F186" s="3"/>
      <c r="G186" s="3"/>
      <c r="H186" s="3"/>
      <c r="I186" s="3"/>
    </row>
    <row r="187" spans="1:9" x14ac:dyDescent="0.2">
      <c r="A187" s="2"/>
      <c r="B187" s="2"/>
      <c r="C187" s="3"/>
      <c r="D187" s="3"/>
      <c r="E187" s="3"/>
      <c r="F187" s="3"/>
      <c r="G187" s="3"/>
      <c r="H187" s="3"/>
      <c r="I187" s="3"/>
    </row>
    <row r="188" spans="1:9" x14ac:dyDescent="0.2">
      <c r="A188" s="2"/>
      <c r="B188" s="2"/>
      <c r="C188" s="3"/>
      <c r="D188" s="3"/>
      <c r="E188" s="3"/>
      <c r="F188" s="3"/>
      <c r="G188" s="3"/>
      <c r="H188" s="3"/>
      <c r="I188" s="3"/>
    </row>
    <row r="189" spans="1:9" x14ac:dyDescent="0.2">
      <c r="A189" s="2"/>
      <c r="B189" s="2"/>
      <c r="C189" s="3"/>
      <c r="D189" s="3"/>
      <c r="E189" s="3"/>
      <c r="F189" s="3"/>
      <c r="G189" s="3"/>
      <c r="H189" s="3"/>
      <c r="I189" s="3"/>
    </row>
    <row r="190" spans="1:9" x14ac:dyDescent="0.2">
      <c r="A190" s="2"/>
      <c r="B190" s="2"/>
      <c r="C190" s="3"/>
      <c r="D190" s="3"/>
      <c r="E190" s="3"/>
      <c r="F190" s="3"/>
      <c r="G190" s="3"/>
      <c r="H190" s="3"/>
    </row>
    <row r="191" spans="1:9" x14ac:dyDescent="0.2">
      <c r="B191" s="2"/>
      <c r="C191" s="3"/>
      <c r="D191" s="3"/>
      <c r="E191" s="3"/>
      <c r="F191" s="3"/>
      <c r="G191" s="3"/>
      <c r="H191" s="3"/>
    </row>
  </sheetData>
  <sortState xmlns:xlrd2="http://schemas.microsoft.com/office/spreadsheetml/2017/richdata2" ref="J26:K65">
    <sortCondition descending="1" ref="K26:K6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1984E-8699-2E46-B79A-1DF4DA5242D7}">
  <dimension ref="A1:V191"/>
  <sheetViews>
    <sheetView topLeftCell="A2" zoomScale="92" workbookViewId="0">
      <selection activeCell="G19" sqref="G19"/>
    </sheetView>
  </sheetViews>
  <sheetFormatPr baseColWidth="10" defaultRowHeight="16" x14ac:dyDescent="0.2"/>
  <cols>
    <col min="1" max="1" width="10.83203125" style="1"/>
    <col min="2" max="2" width="20.6640625" style="1" bestFit="1" customWidth="1"/>
    <col min="3" max="3" width="20.6640625" bestFit="1" customWidth="1"/>
    <col min="4" max="4" width="5.33203125" bestFit="1" customWidth="1"/>
    <col min="5" max="5" width="25.83203125" bestFit="1" customWidth="1"/>
    <col min="6" max="6" width="5.6640625" bestFit="1" customWidth="1"/>
    <col min="7" max="7" width="196" bestFit="1" customWidth="1"/>
    <col min="8" max="8" width="12.83203125" bestFit="1" customWidth="1"/>
    <col min="9" max="9" width="23.6640625" customWidth="1"/>
    <col min="10" max="10" width="43.5" bestFit="1" customWidth="1"/>
    <col min="12" max="12" width="12.5" bestFit="1" customWidth="1"/>
    <col min="16" max="16" width="11.6640625" bestFit="1" customWidth="1"/>
    <col min="21" max="21" width="15.33203125" bestFit="1" customWidth="1"/>
  </cols>
  <sheetData>
    <row r="1" spans="1:22" x14ac:dyDescent="0.2">
      <c r="A1" s="4" t="s">
        <v>0</v>
      </c>
      <c r="B1" s="4" t="s">
        <v>5</v>
      </c>
      <c r="C1" s="5" t="s">
        <v>1</v>
      </c>
      <c r="D1" s="5" t="s">
        <v>2</v>
      </c>
      <c r="E1" s="5" t="s">
        <v>71</v>
      </c>
      <c r="F1" s="5" t="s">
        <v>126</v>
      </c>
      <c r="G1" s="5" t="s">
        <v>3</v>
      </c>
      <c r="H1" s="5" t="s">
        <v>4</v>
      </c>
      <c r="I1" s="11"/>
      <c r="J1" s="11"/>
      <c r="K1" s="3"/>
      <c r="L1" s="3"/>
      <c r="M1" s="3"/>
      <c r="N1" s="3"/>
    </row>
    <row r="2" spans="1:22" x14ac:dyDescent="0.2">
      <c r="A2" s="6">
        <v>241</v>
      </c>
      <c r="B2" s="6" t="s">
        <v>131</v>
      </c>
      <c r="C2" s="7" t="s">
        <v>7</v>
      </c>
      <c r="D2" s="7">
        <v>2024</v>
      </c>
      <c r="E2" s="7" t="s">
        <v>128</v>
      </c>
      <c r="F2" s="7" t="s">
        <v>127</v>
      </c>
      <c r="G2" s="7" t="s">
        <v>132</v>
      </c>
      <c r="H2" s="7" t="s">
        <v>94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22" x14ac:dyDescent="0.2">
      <c r="A3" s="6">
        <v>242</v>
      </c>
      <c r="B3" s="6" t="s">
        <v>133</v>
      </c>
      <c r="C3" s="7" t="s">
        <v>7</v>
      </c>
      <c r="D3" s="7">
        <v>2024</v>
      </c>
      <c r="E3" s="7" t="s">
        <v>128</v>
      </c>
      <c r="F3" s="7" t="s">
        <v>127</v>
      </c>
      <c r="G3" s="7" t="s">
        <v>134</v>
      </c>
      <c r="H3" s="7" t="s">
        <v>94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22" x14ac:dyDescent="0.2">
      <c r="A4" s="6">
        <v>243</v>
      </c>
      <c r="B4" s="6" t="s">
        <v>135</v>
      </c>
      <c r="C4" s="7" t="s">
        <v>136</v>
      </c>
      <c r="D4" s="7">
        <v>2024</v>
      </c>
      <c r="E4" s="7" t="s">
        <v>128</v>
      </c>
      <c r="F4" s="7" t="s">
        <v>127</v>
      </c>
      <c r="G4" s="7" t="s">
        <v>137</v>
      </c>
      <c r="H4" s="7" t="s">
        <v>94</v>
      </c>
      <c r="I4" s="3"/>
      <c r="J4" s="7" t="s">
        <v>208</v>
      </c>
      <c r="K4" s="7" t="s">
        <v>7</v>
      </c>
      <c r="L4" s="7" t="s">
        <v>49</v>
      </c>
      <c r="M4" s="7" t="s">
        <v>136</v>
      </c>
      <c r="N4" s="7" t="s">
        <v>130</v>
      </c>
      <c r="O4" s="7" t="s">
        <v>167</v>
      </c>
      <c r="P4" s="7" t="s">
        <v>160</v>
      </c>
      <c r="Q4" s="7" t="s">
        <v>164</v>
      </c>
      <c r="R4" s="7" t="s">
        <v>513</v>
      </c>
      <c r="S4" s="7" t="s">
        <v>516</v>
      </c>
      <c r="T4" s="7" t="s">
        <v>404</v>
      </c>
      <c r="U4" s="7" t="s">
        <v>539</v>
      </c>
      <c r="V4" s="7" t="s">
        <v>211</v>
      </c>
    </row>
    <row r="5" spans="1:22" x14ac:dyDescent="0.2">
      <c r="A5" s="6">
        <v>244</v>
      </c>
      <c r="B5" s="6" t="s">
        <v>151</v>
      </c>
      <c r="C5" s="7" t="s">
        <v>7</v>
      </c>
      <c r="D5" s="7">
        <v>2024</v>
      </c>
      <c r="E5" s="7" t="s">
        <v>128</v>
      </c>
      <c r="F5" s="7" t="s">
        <v>127</v>
      </c>
      <c r="G5" s="7" t="s">
        <v>152</v>
      </c>
      <c r="H5" s="7" t="s">
        <v>94</v>
      </c>
      <c r="I5" s="3"/>
      <c r="J5" s="7" t="s">
        <v>209</v>
      </c>
      <c r="K5" s="7">
        <f>COUNTIF(C2:C120, K4)</f>
        <v>19</v>
      </c>
      <c r="L5" s="7">
        <f>COUNTIF(C2:C120,L4)</f>
        <v>8</v>
      </c>
      <c r="M5" s="7">
        <f>COUNTIF(C2:C120,M4)</f>
        <v>9</v>
      </c>
      <c r="N5" s="7">
        <f>COUNTIF(C2:C120,N4)</f>
        <v>3</v>
      </c>
      <c r="O5" s="7">
        <f>COUNTIF(C2:C120,O4)</f>
        <v>10</v>
      </c>
      <c r="P5" s="7">
        <f>COUNTIF(C2:C120,P4)</f>
        <v>2</v>
      </c>
      <c r="Q5" s="7">
        <f>COUNTIF(C2:C120,Q4)</f>
        <v>1</v>
      </c>
      <c r="R5" s="17">
        <f>COUNTIF(C2:C120,R4)</f>
        <v>1</v>
      </c>
      <c r="S5" s="7">
        <f>COUNTIF(C2:C120,S4)</f>
        <v>1</v>
      </c>
      <c r="T5" s="17">
        <f>COUNTIF(C2:C120,T4)</f>
        <v>1</v>
      </c>
      <c r="U5" s="17">
        <f>COUNTIF(C2:C120,U4)</f>
        <v>1</v>
      </c>
      <c r="V5" s="7">
        <f>SUM(K5:U5)</f>
        <v>56</v>
      </c>
    </row>
    <row r="6" spans="1:22" x14ac:dyDescent="0.2">
      <c r="A6" s="6">
        <v>245</v>
      </c>
      <c r="B6" s="6" t="s">
        <v>138</v>
      </c>
      <c r="C6" s="7" t="s">
        <v>7</v>
      </c>
      <c r="D6" s="7">
        <v>2024</v>
      </c>
      <c r="E6" s="7" t="s">
        <v>128</v>
      </c>
      <c r="F6" s="7" t="s">
        <v>127</v>
      </c>
      <c r="G6" s="7" t="s">
        <v>139</v>
      </c>
      <c r="H6" s="7" t="s">
        <v>571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22" x14ac:dyDescent="0.2">
      <c r="A7" s="6">
        <v>246</v>
      </c>
      <c r="B7" s="6" t="s">
        <v>140</v>
      </c>
      <c r="C7" s="7" t="s">
        <v>7</v>
      </c>
      <c r="D7" s="7">
        <v>2024</v>
      </c>
      <c r="E7" s="7" t="s">
        <v>128</v>
      </c>
      <c r="F7" s="7" t="s">
        <v>127</v>
      </c>
      <c r="G7" s="7" t="s">
        <v>141</v>
      </c>
      <c r="H7" s="7" t="s">
        <v>571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22" x14ac:dyDescent="0.2">
      <c r="A8" s="6">
        <v>247</v>
      </c>
      <c r="B8" s="6" t="s">
        <v>143</v>
      </c>
      <c r="C8" s="7" t="s">
        <v>136</v>
      </c>
      <c r="D8" s="7">
        <v>2024</v>
      </c>
      <c r="E8" s="7" t="s">
        <v>128</v>
      </c>
      <c r="F8" s="7" t="s">
        <v>127</v>
      </c>
      <c r="G8" s="7" t="s">
        <v>142</v>
      </c>
      <c r="H8" s="7" t="s">
        <v>571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22" x14ac:dyDescent="0.2">
      <c r="A9" s="6">
        <v>248</v>
      </c>
      <c r="B9" s="6" t="s">
        <v>135</v>
      </c>
      <c r="C9" s="7" t="s">
        <v>136</v>
      </c>
      <c r="D9" s="7">
        <v>2024</v>
      </c>
      <c r="E9" s="7" t="s">
        <v>128</v>
      </c>
      <c r="F9" s="7" t="s">
        <v>127</v>
      </c>
      <c r="G9" s="7" t="s">
        <v>144</v>
      </c>
      <c r="H9" s="7" t="s">
        <v>571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22" x14ac:dyDescent="0.2">
      <c r="A10" s="6">
        <v>249</v>
      </c>
      <c r="B10" s="6" t="s">
        <v>146</v>
      </c>
      <c r="C10" s="7" t="s">
        <v>7</v>
      </c>
      <c r="D10" s="7">
        <v>2024</v>
      </c>
      <c r="E10" s="7" t="s">
        <v>128</v>
      </c>
      <c r="F10" s="7" t="s">
        <v>127</v>
      </c>
      <c r="G10" s="7" t="s">
        <v>145</v>
      </c>
      <c r="H10" s="7" t="s">
        <v>571</v>
      </c>
      <c r="I10" s="3"/>
      <c r="J10" s="7" t="s">
        <v>208</v>
      </c>
      <c r="K10" s="7" t="s">
        <v>7</v>
      </c>
      <c r="L10" s="7" t="s">
        <v>49</v>
      </c>
      <c r="M10" s="7" t="s">
        <v>136</v>
      </c>
      <c r="N10" s="7" t="s">
        <v>130</v>
      </c>
      <c r="O10" s="7" t="s">
        <v>167</v>
      </c>
      <c r="P10" s="7" t="s">
        <v>160</v>
      </c>
      <c r="Q10" s="7" t="s">
        <v>164</v>
      </c>
      <c r="R10" s="7" t="s">
        <v>513</v>
      </c>
      <c r="S10" s="7" t="s">
        <v>516</v>
      </c>
      <c r="T10" s="7" t="s">
        <v>404</v>
      </c>
      <c r="U10" s="7" t="s">
        <v>539</v>
      </c>
      <c r="V10" s="7" t="s">
        <v>211</v>
      </c>
    </row>
    <row r="11" spans="1:22" x14ac:dyDescent="0.2">
      <c r="A11" s="6">
        <v>250</v>
      </c>
      <c r="B11" s="6" t="s">
        <v>147</v>
      </c>
      <c r="C11" s="7" t="s">
        <v>7</v>
      </c>
      <c r="D11" s="7">
        <v>2024</v>
      </c>
      <c r="E11" s="7" t="s">
        <v>128</v>
      </c>
      <c r="F11" s="7" t="s">
        <v>127</v>
      </c>
      <c r="G11" s="7" t="s">
        <v>148</v>
      </c>
      <c r="H11" s="7" t="s">
        <v>571</v>
      </c>
      <c r="I11" s="3"/>
      <c r="J11" s="7" t="s">
        <v>210</v>
      </c>
      <c r="K11" s="7">
        <f>K5</f>
        <v>19</v>
      </c>
      <c r="L11" s="7">
        <f>L5</f>
        <v>8</v>
      </c>
      <c r="M11" s="7">
        <f>M5</f>
        <v>9</v>
      </c>
      <c r="N11" s="7">
        <f>N5</f>
        <v>3</v>
      </c>
      <c r="O11" s="7">
        <f>COUNTIF(C8:C126,O10)</f>
        <v>10</v>
      </c>
      <c r="P11" s="7">
        <f>COUNTIF(C8:C126,P10)</f>
        <v>2</v>
      </c>
      <c r="Q11" s="7">
        <f>COUNTIF(C8:C126,Q10)</f>
        <v>1</v>
      </c>
      <c r="R11" s="17">
        <f>COUNTIF(C8:C126,R10)</f>
        <v>1</v>
      </c>
      <c r="S11" s="7">
        <f>COUNTIF(C8:C126,S10)</f>
        <v>1</v>
      </c>
      <c r="T11" s="17">
        <f>COUNTIF(C8:C126,T10)</f>
        <v>1</v>
      </c>
      <c r="U11" s="17">
        <f>COUNTIF(C8:C126,U10)</f>
        <v>1</v>
      </c>
      <c r="V11" s="7">
        <f>SUM(K10:U11)</f>
        <v>56</v>
      </c>
    </row>
    <row r="12" spans="1:22" x14ac:dyDescent="0.2">
      <c r="A12" s="6">
        <v>251</v>
      </c>
      <c r="B12" s="6" t="s">
        <v>150</v>
      </c>
      <c r="C12" s="7" t="s">
        <v>49</v>
      </c>
      <c r="D12" s="7">
        <v>2024</v>
      </c>
      <c r="E12" s="7" t="s">
        <v>128</v>
      </c>
      <c r="F12" s="7" t="s">
        <v>127</v>
      </c>
      <c r="G12" s="7" t="s">
        <v>149</v>
      </c>
      <c r="H12" s="7" t="s">
        <v>571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22" x14ac:dyDescent="0.2">
      <c r="A13" s="6">
        <v>252</v>
      </c>
      <c r="B13" s="6" t="s">
        <v>153</v>
      </c>
      <c r="C13" s="7" t="s">
        <v>7</v>
      </c>
      <c r="D13" s="7">
        <v>2024</v>
      </c>
      <c r="E13" s="7" t="s">
        <v>128</v>
      </c>
      <c r="F13" s="7" t="s">
        <v>127</v>
      </c>
      <c r="G13" s="7" t="s">
        <v>154</v>
      </c>
      <c r="H13" s="7" t="s">
        <v>571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22" x14ac:dyDescent="0.2">
      <c r="A14" s="6">
        <v>253</v>
      </c>
      <c r="B14" s="6" t="s">
        <v>57</v>
      </c>
      <c r="C14" s="7" t="s">
        <v>49</v>
      </c>
      <c r="D14" s="7">
        <v>2024</v>
      </c>
      <c r="E14" s="7" t="s">
        <v>128</v>
      </c>
      <c r="F14" s="7" t="s">
        <v>127</v>
      </c>
      <c r="G14" s="7" t="s">
        <v>155</v>
      </c>
      <c r="H14" s="7" t="s">
        <v>571</v>
      </c>
      <c r="I14" s="3"/>
      <c r="J14" s="7" t="s">
        <v>208</v>
      </c>
      <c r="K14" s="7" t="s">
        <v>7</v>
      </c>
      <c r="L14" s="7" t="s">
        <v>49</v>
      </c>
      <c r="M14" s="7" t="s">
        <v>136</v>
      </c>
      <c r="N14" s="7" t="s">
        <v>130</v>
      </c>
      <c r="O14" s="7" t="s">
        <v>167</v>
      </c>
      <c r="P14" s="7" t="s">
        <v>160</v>
      </c>
      <c r="Q14" s="7" t="s">
        <v>164</v>
      </c>
      <c r="R14" s="7" t="s">
        <v>513</v>
      </c>
      <c r="S14" s="7" t="s">
        <v>516</v>
      </c>
      <c r="T14" s="7" t="s">
        <v>404</v>
      </c>
      <c r="U14" s="7" t="s">
        <v>539</v>
      </c>
      <c r="V14" s="7" t="s">
        <v>211</v>
      </c>
    </row>
    <row r="15" spans="1:22" x14ac:dyDescent="0.2">
      <c r="A15" s="6">
        <v>254</v>
      </c>
      <c r="B15" s="6" t="s">
        <v>80</v>
      </c>
      <c r="C15" s="7" t="s">
        <v>7</v>
      </c>
      <c r="D15" s="7">
        <v>2024</v>
      </c>
      <c r="E15" s="7" t="s">
        <v>128</v>
      </c>
      <c r="F15" s="7" t="s">
        <v>127</v>
      </c>
      <c r="G15" s="7" t="s">
        <v>156</v>
      </c>
      <c r="H15" s="7" t="s">
        <v>571</v>
      </c>
      <c r="I15" s="3"/>
      <c r="J15" s="7" t="s">
        <v>213</v>
      </c>
      <c r="K15" s="7">
        <f>K11</f>
        <v>19</v>
      </c>
      <c r="L15" s="7">
        <f>L11</f>
        <v>8</v>
      </c>
      <c r="M15" s="7">
        <f>M5</f>
        <v>9</v>
      </c>
      <c r="N15" s="7">
        <f>N11</f>
        <v>3</v>
      </c>
      <c r="O15" s="7">
        <f>COUNTIF(C12:C130,O14)</f>
        <v>10</v>
      </c>
      <c r="P15" s="7">
        <f>COUNTIF(C12:C130,P14)</f>
        <v>2</v>
      </c>
      <c r="Q15" s="7">
        <f>COUNTIF(C12:C130,Q14)</f>
        <v>1</v>
      </c>
      <c r="R15" s="17">
        <f>COUNTIF(C12:C130,R14)</f>
        <v>1</v>
      </c>
      <c r="S15" s="7">
        <f>COUNTIF(C12:C130,S14)</f>
        <v>1</v>
      </c>
      <c r="T15" s="17">
        <f>COUNTIF(C12:C130,T14)</f>
        <v>1</v>
      </c>
      <c r="U15" s="17">
        <f>COUNTIF(C12:C130,U14)</f>
        <v>1</v>
      </c>
      <c r="V15" s="7">
        <f>SUM(K15:U15)</f>
        <v>56</v>
      </c>
    </row>
    <row r="16" spans="1:22" x14ac:dyDescent="0.2">
      <c r="A16" s="6">
        <v>255</v>
      </c>
      <c r="B16" s="6" t="s">
        <v>157</v>
      </c>
      <c r="C16" s="7" t="s">
        <v>7</v>
      </c>
      <c r="D16" s="7">
        <v>2024</v>
      </c>
      <c r="E16" s="7" t="s">
        <v>128</v>
      </c>
      <c r="F16" s="7" t="s">
        <v>127</v>
      </c>
      <c r="G16" s="7" t="s">
        <v>158</v>
      </c>
      <c r="H16" s="7" t="s">
        <v>94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2">
      <c r="A17" s="6">
        <v>256</v>
      </c>
      <c r="B17" s="6" t="s">
        <v>159</v>
      </c>
      <c r="C17" s="7" t="s">
        <v>160</v>
      </c>
      <c r="D17" s="7">
        <v>2024</v>
      </c>
      <c r="E17" s="7" t="s">
        <v>128</v>
      </c>
      <c r="F17" s="7" t="s">
        <v>127</v>
      </c>
      <c r="G17" s="7" t="s">
        <v>161</v>
      </c>
      <c r="H17" s="7" t="s">
        <v>94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2">
      <c r="A18" s="6">
        <v>257</v>
      </c>
      <c r="B18" s="6" t="s">
        <v>163</v>
      </c>
      <c r="C18" s="7" t="s">
        <v>7</v>
      </c>
      <c r="D18" s="7">
        <v>2024</v>
      </c>
      <c r="E18" s="7" t="s">
        <v>128</v>
      </c>
      <c r="F18" s="7" t="s">
        <v>127</v>
      </c>
      <c r="G18" s="7" t="s">
        <v>162</v>
      </c>
      <c r="H18" s="7" t="s">
        <v>94</v>
      </c>
      <c r="I18" s="3"/>
      <c r="J18" s="7" t="s">
        <v>214</v>
      </c>
      <c r="K18" s="7" t="s">
        <v>94</v>
      </c>
      <c r="L18" s="7" t="s">
        <v>410</v>
      </c>
      <c r="M18" s="7" t="s">
        <v>409</v>
      </c>
      <c r="N18" s="7" t="s">
        <v>114</v>
      </c>
      <c r="O18" s="7" t="s">
        <v>500</v>
      </c>
      <c r="P18" s="7" t="s">
        <v>281</v>
      </c>
      <c r="Q18" s="3"/>
      <c r="R18" s="3"/>
      <c r="S18" s="3"/>
    </row>
    <row r="19" spans="1:19" x14ac:dyDescent="0.2">
      <c r="A19" s="6">
        <v>258</v>
      </c>
      <c r="B19" s="6" t="s">
        <v>165</v>
      </c>
      <c r="C19" s="7" t="s">
        <v>164</v>
      </c>
      <c r="D19" s="7">
        <v>2024</v>
      </c>
      <c r="E19" s="7" t="s">
        <v>127</v>
      </c>
      <c r="F19" s="7" t="s">
        <v>127</v>
      </c>
      <c r="G19" s="7" t="s">
        <v>166</v>
      </c>
      <c r="H19" s="7" t="s">
        <v>94</v>
      </c>
      <c r="I19" s="3"/>
      <c r="J19" s="7" t="s">
        <v>209</v>
      </c>
      <c r="K19" s="7">
        <f>COUNTIFS(H2:H57,K18)</f>
        <v>11</v>
      </c>
      <c r="L19" s="7">
        <v>18</v>
      </c>
      <c r="M19" s="7">
        <f>COUNTIFS(H2:H57,M18)</f>
        <v>11</v>
      </c>
      <c r="N19" s="7">
        <f>COUNTIFS(H2:H57,N18)</f>
        <v>3</v>
      </c>
      <c r="O19" s="7">
        <f>COUNTIFS(H2:H57,O18)</f>
        <v>5</v>
      </c>
      <c r="P19" s="7">
        <f>COUNTIFS(H2:H57,P18)</f>
        <v>8</v>
      </c>
      <c r="Q19" s="3"/>
      <c r="R19" s="3"/>
      <c r="S19" s="3"/>
    </row>
    <row r="20" spans="1:19" x14ac:dyDescent="0.2">
      <c r="A20" s="6">
        <v>259</v>
      </c>
      <c r="B20" s="6" t="s">
        <v>489</v>
      </c>
      <c r="C20" s="7" t="s">
        <v>167</v>
      </c>
      <c r="D20" s="7">
        <v>2024</v>
      </c>
      <c r="E20" s="7" t="s">
        <v>128</v>
      </c>
      <c r="F20" s="7" t="s">
        <v>127</v>
      </c>
      <c r="G20" s="7" t="s">
        <v>490</v>
      </c>
      <c r="H20" s="7" t="s">
        <v>409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2">
      <c r="A21" s="6">
        <v>260</v>
      </c>
      <c r="B21" s="6" t="s">
        <v>491</v>
      </c>
      <c r="C21" s="7" t="s">
        <v>167</v>
      </c>
      <c r="D21" s="7">
        <v>2024</v>
      </c>
      <c r="E21" s="7" t="s">
        <v>128</v>
      </c>
      <c r="F21" s="7" t="s">
        <v>127</v>
      </c>
      <c r="G21" s="7" t="s">
        <v>492</v>
      </c>
      <c r="H21" s="7" t="s">
        <v>409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2">
      <c r="A22" s="6">
        <v>261</v>
      </c>
      <c r="B22" s="6" t="s">
        <v>493</v>
      </c>
      <c r="C22" s="7" t="s">
        <v>167</v>
      </c>
      <c r="D22" s="7">
        <v>2024</v>
      </c>
      <c r="E22" s="7" t="s">
        <v>128</v>
      </c>
      <c r="F22" s="7" t="s">
        <v>127</v>
      </c>
      <c r="G22" s="7" t="s">
        <v>494</v>
      </c>
      <c r="H22" s="7" t="s">
        <v>409</v>
      </c>
      <c r="I22" s="3"/>
      <c r="J22" s="7" t="s">
        <v>304</v>
      </c>
      <c r="K22" s="7">
        <f>(COUNTIFS(E2:E57,E28)/56) * 100</f>
        <v>10.714285714285714</v>
      </c>
      <c r="L22" s="3"/>
      <c r="M22" s="3"/>
      <c r="N22" s="3"/>
      <c r="O22" s="3"/>
      <c r="P22" s="3"/>
      <c r="Q22" s="3"/>
      <c r="R22" s="3"/>
      <c r="S22" s="3"/>
    </row>
    <row r="23" spans="1:19" x14ac:dyDescent="0.2">
      <c r="A23" s="6">
        <v>262</v>
      </c>
      <c r="B23" s="6" t="s">
        <v>495</v>
      </c>
      <c r="C23" s="7" t="s">
        <v>167</v>
      </c>
      <c r="D23" s="7">
        <v>2024</v>
      </c>
      <c r="E23" s="7" t="s">
        <v>128</v>
      </c>
      <c r="F23" s="7" t="s">
        <v>127</v>
      </c>
      <c r="G23" s="7" t="s">
        <v>496</v>
      </c>
      <c r="H23" s="7" t="s">
        <v>409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2">
      <c r="A24" s="6">
        <v>263</v>
      </c>
      <c r="B24" s="6" t="s">
        <v>169</v>
      </c>
      <c r="C24" s="7" t="s">
        <v>49</v>
      </c>
      <c r="D24" s="7">
        <v>2023</v>
      </c>
      <c r="E24" s="7" t="s">
        <v>128</v>
      </c>
      <c r="F24" s="7" t="s">
        <v>127</v>
      </c>
      <c r="G24" s="7" t="s">
        <v>497</v>
      </c>
      <c r="H24" s="7" t="s">
        <v>114</v>
      </c>
      <c r="I24" s="3"/>
      <c r="J24" s="7" t="s">
        <v>212</v>
      </c>
      <c r="K24" s="7">
        <f>AVERAGE(D2:D57)</f>
        <v>2022.4642857142858</v>
      </c>
      <c r="L24" s="3"/>
      <c r="M24" s="3"/>
      <c r="N24" s="3"/>
      <c r="O24" s="3"/>
      <c r="P24" s="3"/>
      <c r="Q24" s="3"/>
      <c r="R24" s="3"/>
      <c r="S24" s="3"/>
    </row>
    <row r="25" spans="1:19" x14ac:dyDescent="0.2">
      <c r="A25" s="6">
        <v>264</v>
      </c>
      <c r="B25" s="6" t="s">
        <v>498</v>
      </c>
      <c r="C25" s="7" t="s">
        <v>130</v>
      </c>
      <c r="D25" s="7">
        <v>2022</v>
      </c>
      <c r="E25" s="7" t="s">
        <v>128</v>
      </c>
      <c r="F25" s="7" t="s">
        <v>127</v>
      </c>
      <c r="G25" s="7" t="s">
        <v>499</v>
      </c>
      <c r="H25" s="7" t="s">
        <v>500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2">
      <c r="A26" s="6">
        <v>265</v>
      </c>
      <c r="B26" s="6" t="s">
        <v>28</v>
      </c>
      <c r="C26" s="7" t="s">
        <v>49</v>
      </c>
      <c r="D26" s="7">
        <v>2023</v>
      </c>
      <c r="E26" s="7" t="s">
        <v>127</v>
      </c>
      <c r="F26" s="7" t="s">
        <v>127</v>
      </c>
      <c r="G26" s="7" t="s">
        <v>501</v>
      </c>
      <c r="H26" s="7" t="s">
        <v>281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">
      <c r="A27" s="6">
        <v>266</v>
      </c>
      <c r="B27" s="6" t="s">
        <v>77</v>
      </c>
      <c r="C27" s="7" t="s">
        <v>136</v>
      </c>
      <c r="D27" s="7">
        <v>2023</v>
      </c>
      <c r="E27" s="7" t="s">
        <v>128</v>
      </c>
      <c r="F27" s="7" t="s">
        <v>127</v>
      </c>
      <c r="G27" s="7" t="s">
        <v>502</v>
      </c>
      <c r="H27" s="7" t="s">
        <v>281</v>
      </c>
      <c r="I27" s="3"/>
      <c r="J27" s="19" t="s">
        <v>216</v>
      </c>
      <c r="K27" s="19" t="s">
        <v>254</v>
      </c>
      <c r="L27" s="3"/>
      <c r="M27" s="3"/>
      <c r="N27" s="3"/>
      <c r="O27" s="3"/>
      <c r="P27" s="3"/>
      <c r="Q27" s="3"/>
      <c r="R27" s="3"/>
      <c r="S27" s="3"/>
    </row>
    <row r="28" spans="1:19" x14ac:dyDescent="0.2">
      <c r="A28" s="6">
        <v>267</v>
      </c>
      <c r="B28" s="6" t="s">
        <v>503</v>
      </c>
      <c r="C28" s="7" t="s">
        <v>7</v>
      </c>
      <c r="D28" s="7">
        <v>2023</v>
      </c>
      <c r="E28" s="7" t="s">
        <v>127</v>
      </c>
      <c r="F28" s="7" t="s">
        <v>127</v>
      </c>
      <c r="G28" s="7" t="s">
        <v>504</v>
      </c>
      <c r="H28" s="7" t="s">
        <v>571</v>
      </c>
      <c r="I28" s="3"/>
      <c r="J28" s="23" t="s">
        <v>343</v>
      </c>
      <c r="K28" s="22">
        <v>2</v>
      </c>
      <c r="L28" s="3"/>
      <c r="M28" s="3"/>
      <c r="N28" s="3"/>
      <c r="O28" s="3"/>
      <c r="P28" s="3"/>
      <c r="Q28" s="3"/>
      <c r="R28" s="3"/>
      <c r="S28" s="3"/>
    </row>
    <row r="29" spans="1:19" x14ac:dyDescent="0.2">
      <c r="A29" s="6">
        <v>268</v>
      </c>
      <c r="B29" s="6" t="s">
        <v>505</v>
      </c>
      <c r="C29" s="7" t="s">
        <v>160</v>
      </c>
      <c r="D29" s="7">
        <v>2023</v>
      </c>
      <c r="E29" s="7" t="s">
        <v>128</v>
      </c>
      <c r="F29" s="7" t="s">
        <v>127</v>
      </c>
      <c r="G29" s="7" t="s">
        <v>506</v>
      </c>
      <c r="H29" s="7" t="s">
        <v>409</v>
      </c>
      <c r="I29" s="3"/>
      <c r="J29" s="23" t="s">
        <v>337</v>
      </c>
      <c r="K29" s="22">
        <f>COUNTIFS(G2:G57, "*mathematics support*")</f>
        <v>13</v>
      </c>
      <c r="L29" s="3"/>
      <c r="M29" s="3"/>
      <c r="N29" s="3"/>
      <c r="O29" s="3"/>
      <c r="P29" s="3"/>
      <c r="Q29" s="3"/>
      <c r="R29" s="3"/>
      <c r="S29" s="3"/>
    </row>
    <row r="30" spans="1:19" x14ac:dyDescent="0.2">
      <c r="A30" s="6">
        <v>269</v>
      </c>
      <c r="B30" s="6" t="s">
        <v>372</v>
      </c>
      <c r="C30" s="7" t="s">
        <v>167</v>
      </c>
      <c r="D30" s="7">
        <v>2023</v>
      </c>
      <c r="E30" s="7" t="s">
        <v>128</v>
      </c>
      <c r="F30" s="7" t="s">
        <v>127</v>
      </c>
      <c r="G30" s="7" t="s">
        <v>507</v>
      </c>
      <c r="H30" s="7" t="s">
        <v>409</v>
      </c>
      <c r="I30" s="3"/>
      <c r="J30" s="23" t="s">
        <v>244</v>
      </c>
      <c r="K30" s="22">
        <f>COUNTIFS(G1:G48, "*statistics*") - K39-K44-K62-K74</f>
        <v>4</v>
      </c>
      <c r="L30" s="3"/>
      <c r="M30" s="3"/>
      <c r="N30" s="3"/>
      <c r="O30" s="3"/>
      <c r="P30" s="3"/>
      <c r="Q30" s="3"/>
      <c r="R30" s="3"/>
      <c r="S30" s="3"/>
    </row>
    <row r="31" spans="1:19" x14ac:dyDescent="0.2">
      <c r="A31" s="6">
        <v>270</v>
      </c>
      <c r="B31" s="6" t="s">
        <v>508</v>
      </c>
      <c r="C31" s="7" t="s">
        <v>167</v>
      </c>
      <c r="D31" s="7">
        <v>2023</v>
      </c>
      <c r="E31" s="7" t="s">
        <v>128</v>
      </c>
      <c r="F31" s="7" t="s">
        <v>127</v>
      </c>
      <c r="G31" s="7" t="s">
        <v>509</v>
      </c>
      <c r="H31" s="7" t="s">
        <v>409</v>
      </c>
      <c r="I31" s="3"/>
      <c r="J31" s="23" t="s">
        <v>348</v>
      </c>
      <c r="K31" s="22">
        <f>COUNTIFS(G2:G57, "*assessment*")</f>
        <v>5</v>
      </c>
      <c r="L31" s="3"/>
      <c r="M31" s="3"/>
      <c r="N31" s="3"/>
      <c r="O31" s="3"/>
      <c r="P31" s="3"/>
      <c r="Q31" s="3"/>
      <c r="R31" s="3"/>
      <c r="S31" s="3"/>
    </row>
    <row r="32" spans="1:19" x14ac:dyDescent="0.2">
      <c r="A32" s="6">
        <v>271</v>
      </c>
      <c r="B32" s="6" t="s">
        <v>510</v>
      </c>
      <c r="C32" s="7" t="s">
        <v>404</v>
      </c>
      <c r="D32" s="7">
        <v>2022</v>
      </c>
      <c r="E32" s="7" t="s">
        <v>127</v>
      </c>
      <c r="F32" s="7" t="s">
        <v>127</v>
      </c>
      <c r="G32" s="7" t="s">
        <v>511</v>
      </c>
      <c r="H32" s="7" t="s">
        <v>114</v>
      </c>
      <c r="I32" s="3"/>
      <c r="J32" s="23" t="s">
        <v>226</v>
      </c>
      <c r="K32" s="22">
        <f>COUNTIFS(G2:G57, "*mathematics education*")</f>
        <v>6</v>
      </c>
      <c r="L32" s="3"/>
      <c r="M32" s="3"/>
      <c r="N32" s="3"/>
      <c r="O32" s="3"/>
      <c r="P32" s="3"/>
      <c r="Q32" s="3"/>
      <c r="R32" s="3"/>
      <c r="S32" s="3"/>
    </row>
    <row r="33" spans="1:14" x14ac:dyDescent="0.2">
      <c r="A33" s="6">
        <v>272</v>
      </c>
      <c r="B33" s="6" t="s">
        <v>512</v>
      </c>
      <c r="C33" s="7" t="s">
        <v>513</v>
      </c>
      <c r="D33" s="7">
        <v>2022</v>
      </c>
      <c r="E33" s="7" t="s">
        <v>128</v>
      </c>
      <c r="F33" s="7" t="s">
        <v>127</v>
      </c>
      <c r="G33" s="7" t="s">
        <v>514</v>
      </c>
      <c r="H33" s="7" t="s">
        <v>114</v>
      </c>
      <c r="I33" s="3"/>
      <c r="J33" s="23" t="s">
        <v>341</v>
      </c>
      <c r="K33" s="22">
        <f>COUNTIFS(G2:G57, "*calculus*")</f>
        <v>5</v>
      </c>
      <c r="L33" s="3"/>
      <c r="M33" s="3"/>
      <c r="N33" s="3"/>
    </row>
    <row r="34" spans="1:14" x14ac:dyDescent="0.2">
      <c r="A34" s="6">
        <v>273</v>
      </c>
      <c r="B34" s="6" t="s">
        <v>515</v>
      </c>
      <c r="C34" s="7" t="s">
        <v>516</v>
      </c>
      <c r="D34" s="7">
        <v>2020</v>
      </c>
      <c r="E34" s="7" t="s">
        <v>127</v>
      </c>
      <c r="F34" s="7" t="s">
        <v>127</v>
      </c>
      <c r="G34" s="7" t="s">
        <v>517</v>
      </c>
      <c r="H34" s="7" t="s">
        <v>500</v>
      </c>
      <c r="I34" s="3"/>
      <c r="J34" s="23" t="s">
        <v>330</v>
      </c>
      <c r="K34" s="22">
        <f>COUNTIFS(G2:G62, "*engagement*")</f>
        <v>4</v>
      </c>
      <c r="L34" s="3"/>
      <c r="M34" s="3"/>
      <c r="N34" s="3"/>
    </row>
    <row r="35" spans="1:14" x14ac:dyDescent="0.2">
      <c r="A35" s="6">
        <v>274</v>
      </c>
      <c r="B35" s="6" t="s">
        <v>518</v>
      </c>
      <c r="C35" s="7" t="s">
        <v>136</v>
      </c>
      <c r="D35" s="7">
        <v>2021</v>
      </c>
      <c r="E35" s="7" t="s">
        <v>127</v>
      </c>
      <c r="F35" s="7" t="s">
        <v>127</v>
      </c>
      <c r="G35" s="7" t="s">
        <v>519</v>
      </c>
      <c r="H35" s="7" t="s">
        <v>281</v>
      </c>
      <c r="I35" s="3"/>
      <c r="J35" s="23" t="s">
        <v>556</v>
      </c>
      <c r="K35" s="22">
        <f>COUNTIFS(G1:G56, "*first year*") + COUNTIFS(G1:G56, "*first-year*")</f>
        <v>4</v>
      </c>
      <c r="L35" s="3"/>
      <c r="M35" s="3"/>
      <c r="N35" s="3"/>
    </row>
    <row r="36" spans="1:14" x14ac:dyDescent="0.2">
      <c r="A36" s="6">
        <v>275</v>
      </c>
      <c r="B36" s="6" t="s">
        <v>135</v>
      </c>
      <c r="C36" s="7" t="s">
        <v>136</v>
      </c>
      <c r="D36" s="7">
        <v>2021</v>
      </c>
      <c r="E36" s="7" t="s">
        <v>128</v>
      </c>
      <c r="F36" s="7" t="s">
        <v>127</v>
      </c>
      <c r="G36" s="7" t="s">
        <v>520</v>
      </c>
      <c r="H36" s="7" t="s">
        <v>281</v>
      </c>
      <c r="I36" s="3"/>
      <c r="J36" s="23" t="s">
        <v>342</v>
      </c>
      <c r="K36" s="22">
        <f>COUNTIFS(G2:G57, "*undergraduate*")</f>
        <v>3</v>
      </c>
      <c r="L36" s="3"/>
      <c r="M36" s="3"/>
      <c r="N36" s="3"/>
    </row>
    <row r="37" spans="1:14" x14ac:dyDescent="0.2">
      <c r="A37" s="6">
        <v>276</v>
      </c>
      <c r="B37" s="6" t="s">
        <v>80</v>
      </c>
      <c r="C37" s="7" t="s">
        <v>7</v>
      </c>
      <c r="D37" s="7">
        <v>2022</v>
      </c>
      <c r="E37" s="7" t="s">
        <v>128</v>
      </c>
      <c r="F37" s="7" t="s">
        <v>127</v>
      </c>
      <c r="G37" s="7" t="s">
        <v>521</v>
      </c>
      <c r="H37" s="7" t="s">
        <v>571</v>
      </c>
      <c r="I37" s="3"/>
      <c r="J37" s="7" t="s">
        <v>555</v>
      </c>
      <c r="K37" s="22">
        <f>COUNTIFS(G2:G57, "*graduate teaching assistants*")</f>
        <v>3</v>
      </c>
      <c r="L37" s="3"/>
      <c r="M37" s="3"/>
      <c r="N37" s="3"/>
    </row>
    <row r="38" spans="1:14" x14ac:dyDescent="0.2">
      <c r="A38" s="6">
        <v>277</v>
      </c>
      <c r="B38" s="6" t="s">
        <v>522</v>
      </c>
      <c r="C38" s="7" t="s">
        <v>7</v>
      </c>
      <c r="D38" s="7">
        <v>2022</v>
      </c>
      <c r="E38" s="7" t="s">
        <v>128</v>
      </c>
      <c r="F38" s="7" t="s">
        <v>127</v>
      </c>
      <c r="G38" s="7" t="s">
        <v>523</v>
      </c>
      <c r="H38" s="7" t="s">
        <v>571</v>
      </c>
      <c r="I38" s="3"/>
      <c r="J38" s="7" t="s">
        <v>561</v>
      </c>
      <c r="K38" s="22">
        <f>COUNTIFS(G2:G57, "*teacher education*")</f>
        <v>3</v>
      </c>
      <c r="L38" s="3"/>
      <c r="M38" s="3"/>
      <c r="N38" s="3"/>
    </row>
    <row r="39" spans="1:14" x14ac:dyDescent="0.2">
      <c r="A39" s="6">
        <v>278</v>
      </c>
      <c r="B39" s="6" t="s">
        <v>27</v>
      </c>
      <c r="C39" s="7" t="s">
        <v>7</v>
      </c>
      <c r="D39" s="7">
        <v>2022</v>
      </c>
      <c r="E39" s="7" t="s">
        <v>128</v>
      </c>
      <c r="F39" s="7" t="s">
        <v>127</v>
      </c>
      <c r="G39" s="7" t="s">
        <v>217</v>
      </c>
      <c r="H39" s="7" t="s">
        <v>571</v>
      </c>
      <c r="I39" s="3"/>
      <c r="J39" s="23" t="s">
        <v>329</v>
      </c>
      <c r="K39" s="22">
        <f>COUNTIFS(G2:G57, "*statistics anxiety*")</f>
        <v>2</v>
      </c>
      <c r="L39" s="3"/>
      <c r="M39" s="3"/>
      <c r="N39" s="3"/>
    </row>
    <row r="40" spans="1:14" x14ac:dyDescent="0.2">
      <c r="A40" s="6">
        <v>279</v>
      </c>
      <c r="B40" s="6" t="s">
        <v>524</v>
      </c>
      <c r="C40" s="7" t="s">
        <v>49</v>
      </c>
      <c r="D40" s="7">
        <v>2022</v>
      </c>
      <c r="E40" s="7" t="s">
        <v>128</v>
      </c>
      <c r="F40" s="7" t="s">
        <v>127</v>
      </c>
      <c r="G40" s="7" t="s">
        <v>525</v>
      </c>
      <c r="H40" s="7" t="s">
        <v>571</v>
      </c>
      <c r="I40" s="3"/>
      <c r="J40" s="23" t="s">
        <v>220</v>
      </c>
      <c r="K40" s="22">
        <f>COUNTIFS(G2:G57, "*evaluation*")</f>
        <v>2</v>
      </c>
      <c r="L40" s="3"/>
      <c r="M40" s="3"/>
      <c r="N40" s="3"/>
    </row>
    <row r="41" spans="1:14" x14ac:dyDescent="0.2">
      <c r="A41" s="6">
        <v>280</v>
      </c>
      <c r="B41" s="6" t="s">
        <v>163</v>
      </c>
      <c r="C41" s="7" t="s">
        <v>7</v>
      </c>
      <c r="D41" s="7">
        <v>2022</v>
      </c>
      <c r="E41" s="7" t="s">
        <v>128</v>
      </c>
      <c r="F41" s="7" t="s">
        <v>127</v>
      </c>
      <c r="G41" s="7" t="s">
        <v>230</v>
      </c>
      <c r="H41" s="7" t="s">
        <v>571</v>
      </c>
      <c r="I41" s="3"/>
      <c r="J41" s="23" t="s">
        <v>347</v>
      </c>
      <c r="K41" s="22">
        <f>COUNTIFS(G2:G57, "*collaboration*")</f>
        <v>2</v>
      </c>
      <c r="L41" s="3"/>
      <c r="M41" s="3"/>
      <c r="N41" s="3"/>
    </row>
    <row r="42" spans="1:14" x14ac:dyDescent="0.2">
      <c r="A42" s="6">
        <v>281</v>
      </c>
      <c r="B42" s="6" t="s">
        <v>526</v>
      </c>
      <c r="C42" s="7" t="s">
        <v>7</v>
      </c>
      <c r="D42" s="7">
        <v>2022</v>
      </c>
      <c r="E42" s="7" t="s">
        <v>128</v>
      </c>
      <c r="F42" s="7" t="s">
        <v>127</v>
      </c>
      <c r="G42" s="7" t="s">
        <v>527</v>
      </c>
      <c r="H42" s="7" t="s">
        <v>571</v>
      </c>
      <c r="I42" s="3"/>
      <c r="J42" s="7" t="s">
        <v>560</v>
      </c>
      <c r="K42" s="22">
        <f>COUNTIFS(G2:G57, "*online learning*")</f>
        <v>2</v>
      </c>
      <c r="L42" s="3"/>
      <c r="M42" s="3"/>
      <c r="N42" s="3"/>
    </row>
    <row r="43" spans="1:14" x14ac:dyDescent="0.2">
      <c r="A43" s="6">
        <v>282</v>
      </c>
      <c r="B43" s="6" t="s">
        <v>528</v>
      </c>
      <c r="C43" s="7" t="s">
        <v>7</v>
      </c>
      <c r="D43" s="7">
        <v>2022</v>
      </c>
      <c r="E43" s="7" t="s">
        <v>128</v>
      </c>
      <c r="F43" s="7" t="s">
        <v>127</v>
      </c>
      <c r="G43" s="7" t="s">
        <v>529</v>
      </c>
      <c r="H43" s="7" t="s">
        <v>571</v>
      </c>
      <c r="I43" s="3"/>
      <c r="J43" s="7" t="s">
        <v>558</v>
      </c>
      <c r="K43" s="22">
        <f>COUNTIFS(G2:G57, "*tutor*")-K53</f>
        <v>4</v>
      </c>
      <c r="L43" s="3"/>
      <c r="M43" s="3"/>
      <c r="N43" s="3"/>
    </row>
    <row r="44" spans="1:14" x14ac:dyDescent="0.2">
      <c r="A44" s="6">
        <v>283</v>
      </c>
      <c r="B44" s="6" t="s">
        <v>530</v>
      </c>
      <c r="C44" s="7" t="s">
        <v>167</v>
      </c>
      <c r="D44" s="7">
        <v>2022</v>
      </c>
      <c r="E44" s="7" t="s">
        <v>128</v>
      </c>
      <c r="F44" s="7" t="s">
        <v>127</v>
      </c>
      <c r="G44" s="7" t="s">
        <v>531</v>
      </c>
      <c r="H44" s="7" t="s">
        <v>409</v>
      </c>
      <c r="I44" s="3"/>
      <c r="J44" s="7" t="s">
        <v>566</v>
      </c>
      <c r="K44" s="22">
        <f>COUNTIFS(G2:G57, "*statistics support*")-3</f>
        <v>1</v>
      </c>
      <c r="L44" s="3"/>
      <c r="M44" s="3"/>
      <c r="N44" s="3"/>
    </row>
    <row r="45" spans="1:14" x14ac:dyDescent="0.2">
      <c r="A45" s="6">
        <v>284</v>
      </c>
      <c r="B45" s="6" t="s">
        <v>532</v>
      </c>
      <c r="C45" s="7" t="s">
        <v>167</v>
      </c>
      <c r="D45" s="7">
        <v>2022</v>
      </c>
      <c r="E45" s="7" t="s">
        <v>128</v>
      </c>
      <c r="F45" s="7" t="s">
        <v>127</v>
      </c>
      <c r="G45" s="7" t="s">
        <v>533</v>
      </c>
      <c r="H45" s="7" t="s">
        <v>409</v>
      </c>
      <c r="I45" s="3"/>
      <c r="J45" s="23" t="s">
        <v>349</v>
      </c>
      <c r="K45" s="22">
        <f>COUNTIFS(G2:G57, "*community*")</f>
        <v>3</v>
      </c>
      <c r="L45" s="3"/>
      <c r="M45" s="3"/>
      <c r="N45" s="3"/>
    </row>
    <row r="46" spans="1:14" x14ac:dyDescent="0.2">
      <c r="A46" s="6">
        <v>285</v>
      </c>
      <c r="B46" s="6" t="s">
        <v>534</v>
      </c>
      <c r="C46" s="7" t="s">
        <v>167</v>
      </c>
      <c r="D46" s="7">
        <v>2022</v>
      </c>
      <c r="E46" s="7" t="s">
        <v>128</v>
      </c>
      <c r="F46" s="7" t="s">
        <v>127</v>
      </c>
      <c r="G46" s="7" t="s">
        <v>535</v>
      </c>
      <c r="H46" s="7" t="s">
        <v>409</v>
      </c>
      <c r="I46" s="3"/>
      <c r="J46" s="23" t="s">
        <v>325</v>
      </c>
      <c r="K46" s="22">
        <f>COUNTIFS(G15:G70, "*higher education*")</f>
        <v>1</v>
      </c>
      <c r="L46" s="3"/>
      <c r="M46" s="3"/>
      <c r="N46" s="3"/>
    </row>
    <row r="47" spans="1:14" x14ac:dyDescent="0.2">
      <c r="A47" s="6">
        <v>286</v>
      </c>
      <c r="B47" s="6" t="s">
        <v>536</v>
      </c>
      <c r="C47" s="7" t="s">
        <v>167</v>
      </c>
      <c r="D47" s="7">
        <v>2022</v>
      </c>
      <c r="E47" s="7" t="s">
        <v>128</v>
      </c>
      <c r="F47" s="7" t="s">
        <v>127</v>
      </c>
      <c r="G47" s="7" t="s">
        <v>537</v>
      </c>
      <c r="H47" s="7" t="s">
        <v>409</v>
      </c>
      <c r="I47" s="3"/>
      <c r="J47" s="7" t="s">
        <v>563</v>
      </c>
      <c r="K47" s="22">
        <f>COUNTIFS(G1:G35, "*accessibility*")</f>
        <v>1</v>
      </c>
      <c r="L47" s="3"/>
      <c r="M47" s="3"/>
      <c r="N47" s="3"/>
    </row>
    <row r="48" spans="1:14" x14ac:dyDescent="0.2">
      <c r="A48" s="6">
        <v>287</v>
      </c>
      <c r="B48" s="6" t="s">
        <v>538</v>
      </c>
      <c r="C48" s="7" t="s">
        <v>539</v>
      </c>
      <c r="D48" s="7">
        <v>2018</v>
      </c>
      <c r="E48" s="7" t="s">
        <v>128</v>
      </c>
      <c r="F48" s="7" t="s">
        <v>127</v>
      </c>
      <c r="G48" s="7" t="s">
        <v>540</v>
      </c>
      <c r="H48" s="7" t="s">
        <v>500</v>
      </c>
      <c r="I48" s="3"/>
      <c r="J48" s="23" t="s">
        <v>553</v>
      </c>
      <c r="K48" s="22">
        <f>COUNTIFS(G16:G71, "*maths anxiety*")</f>
        <v>1</v>
      </c>
      <c r="L48" s="3"/>
      <c r="M48" s="3"/>
      <c r="N48" s="3"/>
    </row>
    <row r="49" spans="1:14" x14ac:dyDescent="0.2">
      <c r="A49" s="6">
        <v>288</v>
      </c>
      <c r="B49" s="6" t="s">
        <v>541</v>
      </c>
      <c r="C49" s="7" t="s">
        <v>130</v>
      </c>
      <c r="D49" s="7">
        <v>2018</v>
      </c>
      <c r="E49" s="7" t="s">
        <v>128</v>
      </c>
      <c r="F49" s="7" t="s">
        <v>127</v>
      </c>
      <c r="G49" s="7" t="s">
        <v>542</v>
      </c>
      <c r="H49" s="7" t="s">
        <v>500</v>
      </c>
      <c r="I49" s="3"/>
      <c r="J49" s="23" t="s">
        <v>344</v>
      </c>
      <c r="K49" s="22">
        <f>COUNTIFS(G1:G50, "*foundation mathematics*")</f>
        <v>1</v>
      </c>
      <c r="L49" s="3"/>
      <c r="M49" s="3"/>
      <c r="N49" s="3"/>
    </row>
    <row r="50" spans="1:14" x14ac:dyDescent="0.2">
      <c r="A50" s="6">
        <v>289</v>
      </c>
      <c r="B50" s="6" t="s">
        <v>543</v>
      </c>
      <c r="C50" s="7" t="s">
        <v>130</v>
      </c>
      <c r="D50" s="7">
        <v>2018</v>
      </c>
      <c r="E50" s="7" t="s">
        <v>128</v>
      </c>
      <c r="F50" s="7" t="s">
        <v>127</v>
      </c>
      <c r="G50" s="7" t="s">
        <v>544</v>
      </c>
      <c r="H50" s="7" t="s">
        <v>500</v>
      </c>
      <c r="I50" s="3"/>
      <c r="J50" s="23" t="s">
        <v>345</v>
      </c>
      <c r="K50" s="22">
        <f>COUNTIFS(G2:G57, "*maths and stats support*")</f>
        <v>1</v>
      </c>
      <c r="L50" s="3"/>
      <c r="M50" s="3"/>
      <c r="N50" s="3"/>
    </row>
    <row r="51" spans="1:14" x14ac:dyDescent="0.2">
      <c r="A51" s="6">
        <v>290</v>
      </c>
      <c r="B51" s="6" t="s">
        <v>28</v>
      </c>
      <c r="C51" s="7" t="s">
        <v>49</v>
      </c>
      <c r="D51" s="7">
        <v>2019</v>
      </c>
      <c r="E51" s="7" t="s">
        <v>128</v>
      </c>
      <c r="F51" s="7" t="s">
        <v>127</v>
      </c>
      <c r="G51" s="7" t="s">
        <v>545</v>
      </c>
      <c r="H51" s="7" t="s">
        <v>281</v>
      </c>
      <c r="I51" s="3"/>
      <c r="J51" s="23" t="s">
        <v>346</v>
      </c>
      <c r="K51" s="22">
        <f>COUNTIFS(G2:G57, "*sigma*")</f>
        <v>1</v>
      </c>
      <c r="L51" s="3"/>
      <c r="M51" s="3"/>
      <c r="N51" s="3"/>
    </row>
    <row r="52" spans="1:14" x14ac:dyDescent="0.2">
      <c r="A52" s="6">
        <v>291</v>
      </c>
      <c r="B52" s="6" t="s">
        <v>518</v>
      </c>
      <c r="C52" s="7" t="s">
        <v>136</v>
      </c>
      <c r="D52" s="7">
        <v>2019</v>
      </c>
      <c r="E52" s="7" t="s">
        <v>128</v>
      </c>
      <c r="F52" s="7" t="s">
        <v>127</v>
      </c>
      <c r="G52" s="7" t="s">
        <v>546</v>
      </c>
      <c r="H52" s="7" t="s">
        <v>281</v>
      </c>
      <c r="I52" s="3"/>
      <c r="J52" s="7" t="s">
        <v>554</v>
      </c>
      <c r="K52" s="22">
        <f>COUNTIFS(G2:G57, "*learning centers*")</f>
        <v>1</v>
      </c>
      <c r="L52" s="3"/>
      <c r="M52" s="3"/>
      <c r="N52" s="3"/>
    </row>
    <row r="53" spans="1:14" x14ac:dyDescent="0.2">
      <c r="A53" s="6">
        <v>292</v>
      </c>
      <c r="B53" s="6" t="s">
        <v>547</v>
      </c>
      <c r="C53" s="7" t="s">
        <v>136</v>
      </c>
      <c r="D53" s="7">
        <v>2019</v>
      </c>
      <c r="E53" s="7" t="s">
        <v>128</v>
      </c>
      <c r="F53" s="7" t="s">
        <v>127</v>
      </c>
      <c r="G53" s="7" t="s">
        <v>548</v>
      </c>
      <c r="H53" s="7" t="s">
        <v>281</v>
      </c>
      <c r="I53" s="3"/>
      <c r="J53" s="7" t="s">
        <v>557</v>
      </c>
      <c r="K53" s="22">
        <f>COUNTIFS(G2:G57, "*embedded tutor*")</f>
        <v>1</v>
      </c>
      <c r="L53" s="3"/>
      <c r="M53" s="3"/>
      <c r="N53" s="3"/>
    </row>
    <row r="54" spans="1:14" x14ac:dyDescent="0.2">
      <c r="A54" s="6">
        <v>293</v>
      </c>
      <c r="B54" s="6" t="s">
        <v>549</v>
      </c>
      <c r="C54" s="7" t="s">
        <v>136</v>
      </c>
      <c r="D54" s="7">
        <v>2019</v>
      </c>
      <c r="E54" s="7" t="s">
        <v>128</v>
      </c>
      <c r="F54" s="7" t="s">
        <v>127</v>
      </c>
      <c r="G54" s="7" t="s">
        <v>550</v>
      </c>
      <c r="H54" s="7" t="s">
        <v>281</v>
      </c>
      <c r="I54" s="3"/>
      <c r="J54" s="7" t="s">
        <v>559</v>
      </c>
      <c r="K54" s="22">
        <f>COUNTIFS(G2:G57, "*mathematical bridging courses*")</f>
        <v>1</v>
      </c>
      <c r="L54" s="3"/>
      <c r="M54" s="3"/>
      <c r="N54" s="3"/>
    </row>
    <row r="55" spans="1:14" x14ac:dyDescent="0.2">
      <c r="A55" s="6">
        <v>294</v>
      </c>
      <c r="B55" s="6" t="s">
        <v>168</v>
      </c>
      <c r="C55" s="7" t="s">
        <v>7</v>
      </c>
      <c r="D55" s="7">
        <v>2023</v>
      </c>
      <c r="E55" s="7" t="s">
        <v>128</v>
      </c>
      <c r="F55" s="7" t="s">
        <v>127</v>
      </c>
      <c r="G55" s="7" t="s">
        <v>551</v>
      </c>
      <c r="H55" s="7" t="s">
        <v>94</v>
      </c>
      <c r="I55" s="3"/>
      <c r="J55" s="7" t="s">
        <v>562</v>
      </c>
      <c r="K55" s="22">
        <f>COUNTIFS(G2:G57, "*diagnostic testing*")</f>
        <v>1</v>
      </c>
      <c r="L55" s="3"/>
      <c r="M55" s="3"/>
      <c r="N55" s="3"/>
    </row>
    <row r="56" spans="1:14" x14ac:dyDescent="0.2">
      <c r="A56" s="6">
        <v>295</v>
      </c>
      <c r="B56" s="6" t="s">
        <v>68</v>
      </c>
      <c r="C56" s="7" t="s">
        <v>49</v>
      </c>
      <c r="D56" s="7">
        <v>2023</v>
      </c>
      <c r="E56" s="7" t="s">
        <v>128</v>
      </c>
      <c r="F56" s="7" t="s">
        <v>127</v>
      </c>
      <c r="G56" s="7" t="s">
        <v>230</v>
      </c>
      <c r="H56" s="7" t="s">
        <v>94</v>
      </c>
      <c r="I56" s="3"/>
      <c r="J56" s="7" t="s">
        <v>567</v>
      </c>
      <c r="K56" s="22">
        <f>COUNTIFS(G2:G57, "*tertiary education*")</f>
        <v>1</v>
      </c>
      <c r="L56" s="3"/>
      <c r="M56" s="3"/>
      <c r="N56" s="3"/>
    </row>
    <row r="57" spans="1:14" x14ac:dyDescent="0.2">
      <c r="A57" s="6">
        <v>296</v>
      </c>
      <c r="B57" s="6" t="s">
        <v>57</v>
      </c>
      <c r="C57" s="7" t="s">
        <v>49</v>
      </c>
      <c r="D57" s="7">
        <v>2023</v>
      </c>
      <c r="E57" s="7" t="s">
        <v>128</v>
      </c>
      <c r="F57" s="7" t="s">
        <v>127</v>
      </c>
      <c r="G57" s="7" t="s">
        <v>552</v>
      </c>
      <c r="H57" s="7" t="s">
        <v>94</v>
      </c>
      <c r="I57" s="3"/>
      <c r="J57" s="7" t="s">
        <v>565</v>
      </c>
      <c r="K57" s="22">
        <f>COUNTIFS(G2:G57, "*belief*")</f>
        <v>4</v>
      </c>
      <c r="L57" s="3"/>
      <c r="M57" s="3"/>
      <c r="N57" s="3"/>
    </row>
    <row r="58" spans="1:14" x14ac:dyDescent="0.2">
      <c r="A58" s="2"/>
      <c r="B58" s="2"/>
      <c r="C58" s="3"/>
      <c r="D58" s="3"/>
      <c r="E58" s="3"/>
      <c r="F58" s="3"/>
      <c r="G58" s="3"/>
      <c r="H58" s="3"/>
      <c r="I58" s="3"/>
      <c r="J58" s="7" t="s">
        <v>230</v>
      </c>
      <c r="K58" s="22">
        <f>COUNTIFS(G2:G57, "*maths support*")</f>
        <v>3</v>
      </c>
      <c r="L58" s="3"/>
      <c r="M58" s="3"/>
      <c r="N58" s="3"/>
    </row>
    <row r="59" spans="1:14" x14ac:dyDescent="0.2">
      <c r="A59" s="2"/>
      <c r="B59" s="2"/>
      <c r="C59" s="3"/>
      <c r="D59" s="3"/>
      <c r="E59" s="3"/>
      <c r="F59" s="3"/>
      <c r="G59" s="3"/>
      <c r="H59" s="3"/>
      <c r="I59" s="3"/>
      <c r="J59" s="7" t="s">
        <v>568</v>
      </c>
      <c r="K59" s="22">
        <f>COUNTIFS(G2:G57, "*professional development*")</f>
        <v>3</v>
      </c>
      <c r="L59" s="3"/>
      <c r="M59" s="3"/>
      <c r="N59" s="3"/>
    </row>
    <row r="60" spans="1:14" x14ac:dyDescent="0.2">
      <c r="A60" s="2"/>
      <c r="B60" s="2"/>
      <c r="C60" s="3"/>
      <c r="D60" s="3"/>
      <c r="E60" s="3"/>
      <c r="F60" s="3"/>
      <c r="G60" s="3">
        <f>COUNTIF(G2:G57, "N/A")</f>
        <v>0</v>
      </c>
      <c r="H60" s="3"/>
      <c r="I60" s="3"/>
      <c r="J60" s="23" t="s">
        <v>323</v>
      </c>
      <c r="K60" s="22">
        <f>COUNTIFS(G2:G85, "*generative ai*")</f>
        <v>2</v>
      </c>
      <c r="L60" s="3"/>
      <c r="M60" s="3"/>
      <c r="N60" s="3"/>
    </row>
    <row r="61" spans="1:14" x14ac:dyDescent="0.2">
      <c r="A61" s="2"/>
      <c r="B61" s="2"/>
      <c r="C61" s="3"/>
      <c r="D61" s="3"/>
      <c r="E61" s="3"/>
      <c r="F61" s="3"/>
      <c r="G61" s="3"/>
      <c r="H61" s="3"/>
      <c r="I61" s="3"/>
      <c r="J61" s="7" t="s">
        <v>564</v>
      </c>
      <c r="K61" s="22">
        <f>COUNTIFS(G2:G57, "*transition to and across university mathematics*")</f>
        <v>2</v>
      </c>
      <c r="L61" s="3"/>
      <c r="M61" s="3"/>
      <c r="N61" s="3"/>
    </row>
    <row r="62" spans="1:14" x14ac:dyDescent="0.2">
      <c r="A62" s="2"/>
      <c r="B62" s="2"/>
      <c r="C62" s="3"/>
      <c r="D62" s="3"/>
      <c r="E62" s="3"/>
      <c r="F62" s="3"/>
      <c r="G62" s="3"/>
      <c r="H62" s="3"/>
      <c r="I62" s="3"/>
      <c r="J62" s="23" t="s">
        <v>326</v>
      </c>
      <c r="K62" s="22">
        <f>COUNTIFS(G2:G82, "*statistics education*")</f>
        <v>1</v>
      </c>
      <c r="L62" s="3"/>
      <c r="M62" s="3"/>
      <c r="N62" s="3"/>
    </row>
    <row r="63" spans="1:14" x14ac:dyDescent="0.2">
      <c r="A63" s="2"/>
      <c r="B63" s="2"/>
      <c r="C63" s="3"/>
      <c r="D63" s="3"/>
      <c r="E63" s="3"/>
      <c r="F63" s="3"/>
      <c r="G63" s="3"/>
      <c r="H63" s="3"/>
      <c r="I63" s="3"/>
      <c r="J63" s="23" t="s">
        <v>327</v>
      </c>
      <c r="K63" s="22">
        <f>COUNTIFS(G2:G82, "*fyimaths*")</f>
        <v>1</v>
      </c>
      <c r="L63" s="3"/>
      <c r="M63" s="3"/>
      <c r="N63" s="3"/>
    </row>
    <row r="64" spans="1:14" x14ac:dyDescent="0.2">
      <c r="A64" s="2"/>
      <c r="B64" s="2"/>
      <c r="C64" s="3"/>
      <c r="D64" s="3"/>
      <c r="E64" s="3"/>
      <c r="F64" s="3"/>
      <c r="G64" s="3"/>
      <c r="H64" s="3"/>
      <c r="I64" s="3"/>
      <c r="J64" s="23" t="s">
        <v>328</v>
      </c>
      <c r="K64" s="22">
        <f>COUNTIFS(G2:G81, "*chatgpt*")</f>
        <v>1</v>
      </c>
      <c r="L64" s="3"/>
      <c r="M64" s="3"/>
      <c r="N64" s="3"/>
    </row>
    <row r="65" spans="1:14" x14ac:dyDescent="0.2">
      <c r="A65" s="2"/>
      <c r="B65" s="2"/>
      <c r="C65" s="3"/>
      <c r="D65" s="3"/>
      <c r="E65" s="3"/>
      <c r="F65" s="3"/>
      <c r="G65" s="3"/>
      <c r="H65" s="3"/>
      <c r="I65" s="3"/>
      <c r="J65" s="23" t="s">
        <v>331</v>
      </c>
      <c r="K65" s="22">
        <f>COUNTIFS(G2:G80, "*diagnostic tool*")</f>
        <v>1</v>
      </c>
      <c r="L65" s="3"/>
      <c r="M65" s="3"/>
      <c r="N65" s="3"/>
    </row>
    <row r="66" spans="1:14" x14ac:dyDescent="0.2">
      <c r="A66" s="2"/>
      <c r="B66" s="2"/>
      <c r="C66" s="3"/>
      <c r="D66" s="3"/>
      <c r="E66" s="3"/>
      <c r="F66" s="3"/>
      <c r="G66" s="3"/>
      <c r="H66" s="3"/>
      <c r="I66" s="3"/>
      <c r="J66" s="23" t="s">
        <v>332</v>
      </c>
      <c r="K66" s="22">
        <f>COUNTIFS(G2:G80, "*numbas*")</f>
        <v>1</v>
      </c>
      <c r="L66" s="3"/>
      <c r="M66" s="3"/>
      <c r="N66" s="3"/>
    </row>
    <row r="67" spans="1:14" x14ac:dyDescent="0.2">
      <c r="A67" s="2"/>
      <c r="B67" s="2"/>
      <c r="C67" s="3"/>
      <c r="D67" s="3"/>
      <c r="E67" s="3"/>
      <c r="F67" s="3"/>
      <c r="G67" s="3"/>
      <c r="H67" s="3"/>
      <c r="I67" s="3"/>
      <c r="J67" s="23" t="s">
        <v>333</v>
      </c>
      <c r="K67" s="22">
        <f>COUNTIFS(G2:G80, "*mathematics refresher program*")</f>
        <v>1</v>
      </c>
      <c r="L67" s="3"/>
      <c r="M67" s="3"/>
      <c r="N67" s="3"/>
    </row>
    <row r="68" spans="1:14" x14ac:dyDescent="0.2">
      <c r="A68" s="2"/>
      <c r="B68" s="2"/>
      <c r="C68" s="3"/>
      <c r="D68" s="3"/>
      <c r="E68" s="3"/>
      <c r="F68" s="3"/>
      <c r="G68" s="3"/>
      <c r="H68" s="3"/>
      <c r="I68" s="3"/>
      <c r="J68" s="23" t="s">
        <v>334</v>
      </c>
      <c r="K68" s="22">
        <f>COUNTIFS(G2:G80, "*interactivity*")</f>
        <v>1</v>
      </c>
      <c r="L68" s="3"/>
      <c r="M68" s="3"/>
      <c r="N68" s="3"/>
    </row>
    <row r="69" spans="1:14" x14ac:dyDescent="0.2">
      <c r="A69" s="2"/>
      <c r="B69" s="2"/>
      <c r="C69" s="3"/>
      <c r="D69" s="3"/>
      <c r="E69" s="3"/>
      <c r="F69" s="3"/>
      <c r="G69" s="3"/>
      <c r="H69" s="3"/>
      <c r="I69" s="3"/>
      <c r="J69" s="23" t="s">
        <v>335</v>
      </c>
      <c r="K69" s="22">
        <f>COUNTIFS(G2:G80, "*adaptive teaching*")</f>
        <v>1</v>
      </c>
      <c r="L69" s="3"/>
      <c r="M69" s="3"/>
      <c r="N69" s="3"/>
    </row>
    <row r="70" spans="1:14" x14ac:dyDescent="0.2">
      <c r="A70" s="2"/>
      <c r="B70" s="2"/>
      <c r="C70" s="3"/>
      <c r="D70" s="3"/>
      <c r="E70" s="3"/>
      <c r="F70" s="3"/>
      <c r="G70" s="3"/>
      <c r="H70" s="3"/>
      <c r="I70" s="3"/>
      <c r="J70" s="23" t="s">
        <v>336</v>
      </c>
      <c r="K70" s="22">
        <f>COUNTIFS(G2:G80, "*ownership*")</f>
        <v>1</v>
      </c>
      <c r="L70" s="3"/>
      <c r="M70" s="3"/>
      <c r="N70" s="3"/>
    </row>
    <row r="71" spans="1:14" x14ac:dyDescent="0.2">
      <c r="A71" s="2"/>
      <c r="B71" s="2"/>
      <c r="C71" s="3"/>
      <c r="D71" s="3"/>
      <c r="E71" s="3"/>
      <c r="F71" s="3"/>
      <c r="G71" s="3"/>
      <c r="H71" s="3"/>
      <c r="I71" s="3"/>
      <c r="J71" s="23" t="s">
        <v>338</v>
      </c>
      <c r="K71" s="22">
        <f>COUNTIFS(G2:G80, "*academic coaching*")</f>
        <v>1</v>
      </c>
      <c r="L71" s="3"/>
      <c r="M71" s="3"/>
      <c r="N71" s="3"/>
    </row>
    <row r="72" spans="1:14" x14ac:dyDescent="0.2">
      <c r="A72" s="2"/>
      <c r="B72" s="2"/>
      <c r="C72" s="3"/>
      <c r="D72" s="3"/>
      <c r="E72" s="3"/>
      <c r="F72" s="3"/>
      <c r="G72" s="3"/>
      <c r="H72" s="3"/>
      <c r="I72" s="3"/>
      <c r="J72" s="23" t="s">
        <v>310</v>
      </c>
      <c r="K72" s="22">
        <f>COUNTIFS(G2:G80, "*mathematics learning support*")</f>
        <v>1</v>
      </c>
      <c r="L72" s="3"/>
      <c r="M72" s="3"/>
      <c r="N72" s="3"/>
    </row>
    <row r="73" spans="1:14" x14ac:dyDescent="0.2">
      <c r="A73" s="2"/>
      <c r="B73" s="2"/>
      <c r="C73" s="3"/>
      <c r="D73" s="3"/>
      <c r="E73" s="3"/>
      <c r="F73" s="3"/>
      <c r="G73" s="3"/>
      <c r="H73" s="3"/>
      <c r="I73" s="3"/>
      <c r="J73" s="23" t="s">
        <v>339</v>
      </c>
      <c r="K73" s="22">
        <f>COUNTIFS(G2:G80, "*secondary school*")</f>
        <v>1</v>
      </c>
      <c r="L73" s="3"/>
      <c r="M73" s="3"/>
      <c r="N73" s="3"/>
    </row>
    <row r="74" spans="1:14" x14ac:dyDescent="0.2">
      <c r="A74" s="2"/>
      <c r="B74" s="2"/>
      <c r="C74" s="3"/>
      <c r="D74" s="3"/>
      <c r="E74" s="3"/>
      <c r="F74" s="3"/>
      <c r="G74" s="3"/>
      <c r="H74" s="3"/>
      <c r="I74" s="3"/>
      <c r="J74" s="23" t="s">
        <v>340</v>
      </c>
      <c r="K74" s="22">
        <f>COUNTIFS(G2:G79, "*mathematics and statistics teaching support*")</f>
        <v>1</v>
      </c>
      <c r="L74" s="3"/>
      <c r="M74" s="3"/>
      <c r="N74" s="3"/>
    </row>
    <row r="75" spans="1:14" x14ac:dyDescent="0.2">
      <c r="A75" s="2"/>
      <c r="B75" s="2"/>
      <c r="C75" s="3"/>
      <c r="D75" s="3"/>
      <c r="E75" s="3"/>
      <c r="F75" s="3"/>
      <c r="G75" s="3"/>
      <c r="H75" s="3"/>
      <c r="I75" s="3"/>
      <c r="J75" s="23" t="s">
        <v>569</v>
      </c>
      <c r="K75" s="22">
        <f>COUNTIFS(G2:G57, "*developmental mathematics*")</f>
        <v>1</v>
      </c>
      <c r="L75" s="3"/>
      <c r="M75" s="3"/>
      <c r="N75" s="3"/>
    </row>
    <row r="76" spans="1:14" x14ac:dyDescent="0.2">
      <c r="A76" s="2"/>
      <c r="B76" s="2"/>
      <c r="C76" s="3"/>
      <c r="D76" s="3"/>
      <c r="E76" s="3"/>
      <c r="F76" s="3"/>
      <c r="G76" s="3"/>
      <c r="H76" s="3"/>
      <c r="I76" s="3"/>
      <c r="J76" s="23" t="s">
        <v>570</v>
      </c>
      <c r="K76" s="22">
        <f>COUNTIFS(G2:G57, "*mathematics anxiety*")</f>
        <v>1</v>
      </c>
      <c r="L76" s="3"/>
      <c r="M76" s="3"/>
      <c r="N76" s="3"/>
    </row>
    <row r="77" spans="1:14" x14ac:dyDescent="0.2">
      <c r="A77" s="2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x14ac:dyDescent="0.2">
      <c r="A78" s="2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x14ac:dyDescent="0.2">
      <c r="A79" s="2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x14ac:dyDescent="0.2">
      <c r="A80" s="2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x14ac:dyDescent="0.2">
      <c r="A81" s="2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x14ac:dyDescent="0.2">
      <c r="A82" s="2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x14ac:dyDescent="0.2">
      <c r="A83" s="2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x14ac:dyDescent="0.2">
      <c r="A84" s="2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x14ac:dyDescent="0.2">
      <c r="A85" s="2"/>
      <c r="B85" s="2"/>
      <c r="C85" s="3"/>
      <c r="D85" s="3"/>
      <c r="E85" s="3"/>
      <c r="F85" s="3"/>
      <c r="G85" s="3"/>
      <c r="H85" s="3"/>
      <c r="I85" s="3"/>
    </row>
    <row r="86" spans="1:14" x14ac:dyDescent="0.2">
      <c r="A86" s="2"/>
      <c r="B86" s="2"/>
      <c r="C86" s="3"/>
      <c r="D86" s="3"/>
      <c r="E86" s="3"/>
      <c r="F86" s="3"/>
      <c r="G86" s="3"/>
      <c r="H86" s="3"/>
      <c r="I86" s="3"/>
    </row>
    <row r="87" spans="1:14" x14ac:dyDescent="0.2">
      <c r="A87" s="2"/>
      <c r="B87" s="2"/>
      <c r="C87" s="3"/>
      <c r="D87" s="3"/>
      <c r="E87" s="3"/>
      <c r="F87" s="3"/>
      <c r="G87" s="3"/>
      <c r="H87" s="3"/>
      <c r="I87" s="3"/>
    </row>
    <row r="88" spans="1:14" x14ac:dyDescent="0.2">
      <c r="A88" s="2"/>
      <c r="B88" s="2"/>
      <c r="C88" s="3"/>
      <c r="D88" s="3"/>
      <c r="E88" s="3"/>
      <c r="F88" s="3"/>
      <c r="G88" s="3"/>
      <c r="H88" s="3"/>
      <c r="I88" s="3"/>
    </row>
    <row r="89" spans="1:14" x14ac:dyDescent="0.2">
      <c r="A89" s="2"/>
      <c r="B89" s="2"/>
      <c r="C89" s="3"/>
      <c r="D89" s="3"/>
      <c r="E89" s="3"/>
      <c r="F89" s="3"/>
      <c r="G89" s="3"/>
      <c r="H89" s="3"/>
      <c r="I89" s="3"/>
    </row>
    <row r="90" spans="1:14" x14ac:dyDescent="0.2">
      <c r="A90" s="2"/>
      <c r="B90" s="2"/>
      <c r="C90" s="3"/>
      <c r="D90" s="3"/>
      <c r="E90" s="3"/>
      <c r="F90" s="3"/>
      <c r="G90" s="3"/>
      <c r="H90" s="3"/>
      <c r="I90" s="3"/>
    </row>
    <row r="91" spans="1:14" x14ac:dyDescent="0.2">
      <c r="A91" s="2"/>
      <c r="B91" s="2"/>
      <c r="C91" s="3"/>
      <c r="D91" s="3"/>
      <c r="E91" s="3"/>
      <c r="F91" s="3"/>
      <c r="G91" s="3"/>
      <c r="H91" s="3"/>
      <c r="I91" s="3"/>
    </row>
    <row r="92" spans="1:14" x14ac:dyDescent="0.2">
      <c r="A92" s="2"/>
      <c r="B92" s="2"/>
      <c r="C92" s="3"/>
      <c r="D92" s="3"/>
      <c r="E92" s="3"/>
      <c r="F92" s="3"/>
      <c r="G92" s="3"/>
      <c r="H92" s="3"/>
      <c r="I92" s="3"/>
    </row>
    <row r="93" spans="1:14" x14ac:dyDescent="0.2">
      <c r="A93" s="2"/>
      <c r="B93" s="2"/>
      <c r="C93" s="3"/>
      <c r="D93" s="3"/>
      <c r="E93" s="3"/>
      <c r="F93" s="3"/>
      <c r="G93" s="3"/>
      <c r="H93" s="3"/>
      <c r="I93" s="3"/>
    </row>
    <row r="94" spans="1:14" x14ac:dyDescent="0.2">
      <c r="A94" s="2"/>
      <c r="B94" s="2"/>
      <c r="C94" s="3"/>
      <c r="D94" s="3"/>
      <c r="E94" s="3"/>
      <c r="F94" s="3"/>
      <c r="G94" s="3"/>
      <c r="H94" s="3"/>
      <c r="I94" s="3"/>
    </row>
    <row r="95" spans="1:14" x14ac:dyDescent="0.2">
      <c r="A95" s="2"/>
      <c r="B95" s="2"/>
      <c r="C95" s="3"/>
      <c r="D95" s="3"/>
      <c r="E95" s="3"/>
      <c r="F95" s="3"/>
      <c r="G95" s="3"/>
      <c r="H95" s="3"/>
      <c r="I95" s="3"/>
    </row>
    <row r="96" spans="1:14" x14ac:dyDescent="0.2">
      <c r="A96" s="2"/>
      <c r="B96" s="2"/>
      <c r="C96" s="3"/>
      <c r="D96" s="3"/>
      <c r="E96" s="3"/>
      <c r="F96" s="3"/>
      <c r="G96" s="3"/>
      <c r="H96" s="3"/>
      <c r="I96" s="3"/>
    </row>
    <row r="97" spans="1:9" x14ac:dyDescent="0.2">
      <c r="A97" s="2"/>
      <c r="B97" s="2"/>
      <c r="C97" s="3"/>
      <c r="D97" s="3"/>
      <c r="E97" s="3"/>
      <c r="F97" s="3"/>
      <c r="G97" s="3"/>
      <c r="H97" s="3"/>
      <c r="I97" s="3"/>
    </row>
    <row r="98" spans="1:9" x14ac:dyDescent="0.2">
      <c r="A98" s="2"/>
      <c r="B98" s="2"/>
      <c r="C98" s="3"/>
      <c r="D98" s="3"/>
      <c r="E98" s="3"/>
      <c r="F98" s="3"/>
      <c r="G98" s="3"/>
      <c r="H98" s="3"/>
      <c r="I98" s="3"/>
    </row>
    <row r="99" spans="1:9" x14ac:dyDescent="0.2">
      <c r="A99" s="2"/>
      <c r="B99" s="2"/>
      <c r="C99" s="3"/>
      <c r="D99" s="3"/>
      <c r="E99" s="3"/>
      <c r="F99" s="3"/>
      <c r="G99" s="3"/>
      <c r="H99" s="3"/>
      <c r="I99" s="3"/>
    </row>
    <row r="100" spans="1:9" x14ac:dyDescent="0.2">
      <c r="A100" s="2"/>
      <c r="B100" s="2"/>
      <c r="C100" s="3"/>
      <c r="D100" s="3"/>
      <c r="E100" s="3"/>
      <c r="F100" s="3"/>
      <c r="G100" s="3"/>
      <c r="H100" s="3"/>
      <c r="I100" s="3"/>
    </row>
    <row r="101" spans="1:9" x14ac:dyDescent="0.2">
      <c r="A101" s="2"/>
      <c r="B101" s="2"/>
      <c r="C101" s="3"/>
      <c r="D101" s="3"/>
      <c r="E101" s="3"/>
      <c r="F101" s="3"/>
      <c r="G101" s="3"/>
      <c r="H101" s="3"/>
      <c r="I101" s="3"/>
    </row>
    <row r="102" spans="1:9" x14ac:dyDescent="0.2">
      <c r="A102" s="2"/>
      <c r="B102" s="2"/>
      <c r="C102" s="3"/>
      <c r="D102" s="3"/>
      <c r="E102" s="3"/>
      <c r="F102" s="3"/>
      <c r="G102" s="3"/>
      <c r="H102" s="3"/>
      <c r="I102" s="3"/>
    </row>
    <row r="103" spans="1:9" x14ac:dyDescent="0.2">
      <c r="A103" s="2"/>
      <c r="B103" s="2"/>
      <c r="C103" s="3"/>
      <c r="D103" s="3"/>
      <c r="E103" s="3"/>
      <c r="F103" s="3"/>
      <c r="G103" s="3"/>
      <c r="H103" s="3"/>
      <c r="I103" s="3"/>
    </row>
    <row r="104" spans="1:9" x14ac:dyDescent="0.2">
      <c r="A104" s="2"/>
      <c r="B104" s="2"/>
      <c r="C104" s="3"/>
      <c r="D104" s="3"/>
      <c r="E104" s="3"/>
      <c r="F104" s="3"/>
      <c r="G104" s="3"/>
      <c r="H104" s="3"/>
      <c r="I104" s="3"/>
    </row>
    <row r="105" spans="1:9" x14ac:dyDescent="0.2">
      <c r="A105" s="2"/>
      <c r="B105" s="2"/>
      <c r="C105" s="3"/>
      <c r="D105" s="3"/>
      <c r="E105" s="3"/>
      <c r="F105" s="3"/>
      <c r="G105" s="3"/>
      <c r="H105" s="3"/>
      <c r="I105" s="3"/>
    </row>
    <row r="106" spans="1:9" x14ac:dyDescent="0.2">
      <c r="A106" s="2"/>
      <c r="B106" s="2"/>
      <c r="C106" s="3"/>
      <c r="D106" s="3"/>
      <c r="E106" s="3"/>
      <c r="F106" s="3"/>
      <c r="G106" s="3"/>
      <c r="H106" s="3"/>
      <c r="I106" s="3"/>
    </row>
    <row r="107" spans="1:9" x14ac:dyDescent="0.2">
      <c r="A107" s="2"/>
      <c r="B107" s="2"/>
      <c r="C107" s="3"/>
      <c r="D107" s="3"/>
      <c r="E107" s="3"/>
      <c r="F107" s="3"/>
      <c r="G107" s="3"/>
      <c r="H107" s="3"/>
      <c r="I107" s="3"/>
    </row>
    <row r="108" spans="1:9" x14ac:dyDescent="0.2">
      <c r="A108" s="2"/>
      <c r="B108" s="2"/>
      <c r="C108" s="3"/>
      <c r="D108" s="3"/>
      <c r="E108" s="3"/>
      <c r="F108" s="3"/>
      <c r="G108" s="3"/>
      <c r="H108" s="3"/>
      <c r="I108" s="3"/>
    </row>
    <row r="109" spans="1:9" x14ac:dyDescent="0.2">
      <c r="A109" s="2"/>
      <c r="B109" s="2"/>
      <c r="C109" s="3"/>
      <c r="D109" s="3"/>
      <c r="E109" s="3"/>
      <c r="F109" s="3"/>
      <c r="G109" s="3"/>
      <c r="H109" s="3"/>
      <c r="I109" s="3"/>
    </row>
    <row r="110" spans="1:9" x14ac:dyDescent="0.2">
      <c r="A110" s="2"/>
      <c r="B110" s="2"/>
      <c r="C110" s="3"/>
      <c r="D110" s="3"/>
      <c r="E110" s="3"/>
      <c r="F110" s="3"/>
      <c r="G110" s="3"/>
      <c r="H110" s="3"/>
      <c r="I110" s="3"/>
    </row>
    <row r="111" spans="1:9" x14ac:dyDescent="0.2">
      <c r="A111" s="2"/>
      <c r="B111" s="2"/>
      <c r="C111" s="3"/>
      <c r="D111" s="3"/>
      <c r="E111" s="3"/>
      <c r="F111" s="3"/>
      <c r="G111" s="3"/>
      <c r="H111" s="3"/>
      <c r="I111" s="3"/>
    </row>
    <row r="112" spans="1:9" x14ac:dyDescent="0.2">
      <c r="A112" s="2"/>
      <c r="B112" s="2"/>
      <c r="C112" s="3"/>
      <c r="D112" s="3"/>
      <c r="E112" s="3"/>
      <c r="F112" s="3"/>
      <c r="G112" s="3"/>
      <c r="H112" s="3"/>
      <c r="I112" s="3"/>
    </row>
    <row r="113" spans="1:9" x14ac:dyDescent="0.2">
      <c r="A113" s="2"/>
      <c r="B113" s="2"/>
      <c r="C113" s="3"/>
      <c r="D113" s="3"/>
      <c r="E113" s="3"/>
      <c r="F113" s="3"/>
      <c r="G113" s="3"/>
      <c r="H113" s="3"/>
      <c r="I113" s="3"/>
    </row>
    <row r="114" spans="1:9" x14ac:dyDescent="0.2">
      <c r="A114" s="2"/>
      <c r="B114" s="2"/>
      <c r="C114" s="3"/>
      <c r="D114" s="3"/>
      <c r="E114" s="3"/>
      <c r="F114" s="3"/>
      <c r="G114" s="3"/>
      <c r="H114" s="3"/>
      <c r="I114" s="3"/>
    </row>
    <row r="115" spans="1:9" x14ac:dyDescent="0.2">
      <c r="A115" s="2"/>
      <c r="B115" s="2"/>
      <c r="C115" s="3"/>
      <c r="D115" s="3"/>
      <c r="E115" s="3"/>
      <c r="F115" s="3"/>
      <c r="G115" s="3"/>
      <c r="H115" s="3"/>
      <c r="I115" s="3"/>
    </row>
    <row r="116" spans="1:9" x14ac:dyDescent="0.2">
      <c r="A116" s="2"/>
      <c r="B116" s="2"/>
      <c r="C116" s="3"/>
      <c r="D116" s="3"/>
      <c r="E116" s="3"/>
      <c r="F116" s="3"/>
      <c r="G116" s="3"/>
      <c r="H116" s="3"/>
      <c r="I116" s="3"/>
    </row>
    <row r="117" spans="1:9" x14ac:dyDescent="0.2">
      <c r="A117" s="2"/>
      <c r="B117" s="2"/>
      <c r="C117" s="3"/>
      <c r="D117" s="3"/>
      <c r="E117" s="3"/>
      <c r="F117" s="3"/>
      <c r="G117" s="3"/>
      <c r="H117" s="3"/>
      <c r="I117" s="3"/>
    </row>
    <row r="118" spans="1:9" x14ac:dyDescent="0.2">
      <c r="A118" s="2"/>
      <c r="B118" s="2"/>
      <c r="C118" s="3"/>
      <c r="D118" s="3"/>
      <c r="E118" s="3"/>
      <c r="F118" s="3"/>
      <c r="G118" s="3"/>
      <c r="H118" s="3"/>
      <c r="I118" s="3"/>
    </row>
    <row r="119" spans="1:9" x14ac:dyDescent="0.2">
      <c r="A119" s="2"/>
      <c r="B119" s="2"/>
      <c r="C119" s="3"/>
      <c r="D119" s="3"/>
      <c r="E119" s="3"/>
      <c r="F119" s="3"/>
      <c r="G119" s="3"/>
      <c r="H119" s="3"/>
      <c r="I119" s="3"/>
    </row>
    <row r="120" spans="1:9" x14ac:dyDescent="0.2">
      <c r="A120" s="2"/>
      <c r="B120" s="2"/>
      <c r="C120" s="3"/>
      <c r="D120" s="3"/>
      <c r="E120" s="3"/>
      <c r="F120" s="3"/>
      <c r="G120" s="3"/>
      <c r="H120" s="3"/>
      <c r="I120" s="3"/>
    </row>
    <row r="121" spans="1:9" x14ac:dyDescent="0.2">
      <c r="A121" s="2"/>
      <c r="B121" s="2"/>
      <c r="C121" s="3"/>
      <c r="D121" s="3"/>
      <c r="E121" s="3"/>
      <c r="F121" s="3"/>
      <c r="G121" s="3"/>
      <c r="H121" s="3"/>
      <c r="I121" s="3"/>
    </row>
    <row r="122" spans="1:9" x14ac:dyDescent="0.2">
      <c r="A122" s="2"/>
      <c r="B122" s="2"/>
      <c r="C122" s="3"/>
      <c r="D122" s="3"/>
      <c r="E122" s="3"/>
      <c r="F122" s="3"/>
      <c r="G122" s="3"/>
      <c r="H122" s="3"/>
      <c r="I122" s="3"/>
    </row>
    <row r="123" spans="1:9" x14ac:dyDescent="0.2">
      <c r="A123" s="2"/>
      <c r="B123" s="2"/>
      <c r="C123" s="3"/>
      <c r="D123" s="3"/>
      <c r="E123" s="3"/>
      <c r="F123" s="3"/>
      <c r="G123" s="3"/>
      <c r="H123" s="3"/>
      <c r="I123" s="3"/>
    </row>
    <row r="124" spans="1:9" x14ac:dyDescent="0.2">
      <c r="A124" s="2"/>
      <c r="B124" s="2"/>
      <c r="C124" s="3"/>
      <c r="D124" s="3"/>
      <c r="E124" s="3"/>
      <c r="F124" s="3"/>
      <c r="G124" s="3"/>
      <c r="H124" s="3"/>
      <c r="I124" s="3"/>
    </row>
    <row r="125" spans="1:9" x14ac:dyDescent="0.2">
      <c r="A125" s="2"/>
      <c r="B125" s="2"/>
      <c r="C125" s="3"/>
      <c r="D125" s="3"/>
      <c r="E125" s="3"/>
      <c r="F125" s="3"/>
      <c r="G125" s="3"/>
      <c r="H125" s="3"/>
      <c r="I125" s="3"/>
    </row>
    <row r="126" spans="1:9" x14ac:dyDescent="0.2">
      <c r="A126" s="2"/>
      <c r="B126" s="2"/>
      <c r="C126" s="3"/>
      <c r="D126" s="3"/>
      <c r="E126" s="3"/>
      <c r="F126" s="3"/>
      <c r="G126" s="3"/>
      <c r="H126" s="3"/>
      <c r="I126" s="3"/>
    </row>
    <row r="127" spans="1:9" x14ac:dyDescent="0.2">
      <c r="A127" s="2"/>
      <c r="B127" s="2"/>
      <c r="C127" s="3"/>
      <c r="D127" s="3"/>
      <c r="E127" s="3"/>
      <c r="F127" s="3"/>
      <c r="G127" s="3"/>
      <c r="H127" s="3"/>
      <c r="I127" s="3"/>
    </row>
    <row r="128" spans="1:9" x14ac:dyDescent="0.2">
      <c r="A128" s="2"/>
      <c r="B128" s="2"/>
      <c r="C128" s="3"/>
      <c r="D128" s="3"/>
      <c r="E128" s="3"/>
      <c r="F128" s="3"/>
      <c r="G128" s="3"/>
      <c r="H128" s="3"/>
      <c r="I128" s="3"/>
    </row>
    <row r="129" spans="1:9" x14ac:dyDescent="0.2">
      <c r="A129" s="2"/>
      <c r="B129" s="2"/>
      <c r="C129" s="3"/>
      <c r="D129" s="3"/>
      <c r="E129" s="3"/>
      <c r="F129" s="3"/>
      <c r="G129" s="3"/>
      <c r="H129" s="3"/>
      <c r="I129" s="3"/>
    </row>
    <row r="130" spans="1:9" x14ac:dyDescent="0.2">
      <c r="A130" s="2"/>
      <c r="B130" s="2"/>
      <c r="C130" s="3"/>
      <c r="D130" s="3"/>
      <c r="E130" s="3"/>
      <c r="F130" s="3"/>
      <c r="G130" s="3"/>
      <c r="H130" s="3"/>
      <c r="I130" s="3"/>
    </row>
    <row r="131" spans="1:9" x14ac:dyDescent="0.2">
      <c r="A131" s="2"/>
      <c r="B131" s="2"/>
      <c r="C131" s="3"/>
      <c r="D131" s="3"/>
      <c r="E131" s="3"/>
      <c r="F131" s="3"/>
      <c r="G131" s="3"/>
      <c r="H131" s="3"/>
      <c r="I131" s="3"/>
    </row>
    <row r="132" spans="1:9" x14ac:dyDescent="0.2">
      <c r="A132" s="2"/>
      <c r="B132" s="2"/>
      <c r="C132" s="3"/>
      <c r="D132" s="3"/>
      <c r="E132" s="3"/>
      <c r="F132" s="3"/>
      <c r="G132" s="3"/>
      <c r="H132" s="3"/>
      <c r="I132" s="3"/>
    </row>
    <row r="133" spans="1:9" x14ac:dyDescent="0.2">
      <c r="A133" s="2"/>
      <c r="B133" s="2"/>
      <c r="C133" s="3"/>
      <c r="D133" s="3"/>
      <c r="E133" s="3"/>
      <c r="F133" s="3"/>
      <c r="G133" s="3"/>
      <c r="H133" s="3"/>
      <c r="I133" s="3"/>
    </row>
    <row r="134" spans="1:9" x14ac:dyDescent="0.2">
      <c r="A134" s="2"/>
      <c r="B134" s="2"/>
      <c r="C134" s="3"/>
      <c r="D134" s="3"/>
      <c r="E134" s="3"/>
      <c r="F134" s="3"/>
      <c r="G134" s="3"/>
      <c r="H134" s="3"/>
      <c r="I134" s="3"/>
    </row>
    <row r="135" spans="1:9" x14ac:dyDescent="0.2">
      <c r="A135" s="2"/>
      <c r="B135" s="2"/>
      <c r="C135" s="3"/>
      <c r="D135" s="3"/>
      <c r="E135" s="3"/>
      <c r="F135" s="3"/>
      <c r="G135" s="3"/>
      <c r="H135" s="3"/>
      <c r="I135" s="3"/>
    </row>
    <row r="136" spans="1:9" x14ac:dyDescent="0.2">
      <c r="A136" s="2"/>
      <c r="B136" s="2"/>
      <c r="C136" s="3"/>
      <c r="D136" s="3"/>
      <c r="E136" s="3"/>
      <c r="F136" s="3"/>
      <c r="G136" s="3"/>
      <c r="H136" s="3"/>
      <c r="I136" s="3"/>
    </row>
    <row r="137" spans="1:9" x14ac:dyDescent="0.2">
      <c r="A137" s="2"/>
      <c r="B137" s="2"/>
      <c r="C137" s="3"/>
      <c r="D137" s="3"/>
      <c r="E137" s="3"/>
      <c r="F137" s="3"/>
      <c r="G137" s="3"/>
      <c r="H137" s="3"/>
      <c r="I137" s="3"/>
    </row>
    <row r="138" spans="1:9" x14ac:dyDescent="0.2">
      <c r="A138" s="2"/>
      <c r="B138" s="2"/>
      <c r="C138" s="3"/>
      <c r="D138" s="3"/>
      <c r="E138" s="3"/>
      <c r="F138" s="3"/>
      <c r="G138" s="3"/>
      <c r="H138" s="3"/>
      <c r="I138" s="3"/>
    </row>
    <row r="139" spans="1:9" x14ac:dyDescent="0.2">
      <c r="A139" s="2"/>
      <c r="B139" s="2"/>
      <c r="C139" s="3"/>
      <c r="D139" s="3"/>
      <c r="E139" s="3"/>
      <c r="F139" s="3"/>
      <c r="G139" s="3"/>
      <c r="H139" s="3"/>
      <c r="I139" s="3"/>
    </row>
    <row r="140" spans="1:9" x14ac:dyDescent="0.2">
      <c r="A140" s="2"/>
      <c r="B140" s="2"/>
      <c r="C140" s="3"/>
      <c r="D140" s="3"/>
      <c r="E140" s="3"/>
      <c r="F140" s="3"/>
      <c r="G140" s="3"/>
      <c r="H140" s="3"/>
      <c r="I140" s="3"/>
    </row>
    <row r="141" spans="1:9" x14ac:dyDescent="0.2">
      <c r="A141" s="2"/>
      <c r="B141" s="2"/>
      <c r="C141" s="3"/>
      <c r="D141" s="3"/>
      <c r="E141" s="3"/>
      <c r="F141" s="3"/>
      <c r="G141" s="3"/>
      <c r="H141" s="3"/>
      <c r="I141" s="3"/>
    </row>
    <row r="142" spans="1:9" x14ac:dyDescent="0.2">
      <c r="A142" s="2"/>
      <c r="B142" s="2"/>
      <c r="C142" s="3"/>
      <c r="D142" s="3"/>
      <c r="E142" s="3"/>
      <c r="F142" s="3"/>
      <c r="G142" s="3"/>
      <c r="H142" s="3"/>
      <c r="I142" s="3"/>
    </row>
    <row r="143" spans="1:9" x14ac:dyDescent="0.2">
      <c r="A143" s="2"/>
      <c r="B143" s="2"/>
      <c r="C143" s="3"/>
      <c r="D143" s="3"/>
      <c r="E143" s="3"/>
      <c r="F143" s="3"/>
      <c r="G143" s="3"/>
      <c r="H143" s="3"/>
      <c r="I143" s="3"/>
    </row>
    <row r="144" spans="1:9" x14ac:dyDescent="0.2">
      <c r="A144" s="2"/>
      <c r="B144" s="2"/>
      <c r="C144" s="3"/>
      <c r="D144" s="3"/>
      <c r="E144" s="3"/>
      <c r="F144" s="3"/>
      <c r="G144" s="3"/>
      <c r="H144" s="3"/>
      <c r="I144" s="3"/>
    </row>
    <row r="145" spans="1:9" x14ac:dyDescent="0.2">
      <c r="A145" s="2"/>
      <c r="B145" s="2"/>
      <c r="C145" s="3"/>
      <c r="D145" s="3"/>
      <c r="E145" s="3"/>
      <c r="F145" s="3"/>
      <c r="G145" s="3"/>
      <c r="H145" s="3"/>
      <c r="I145" s="3"/>
    </row>
    <row r="146" spans="1:9" x14ac:dyDescent="0.2">
      <c r="A146" s="2"/>
      <c r="B146" s="2"/>
      <c r="C146" s="3"/>
      <c r="D146" s="3"/>
      <c r="E146" s="3"/>
      <c r="F146" s="3"/>
      <c r="G146" s="3"/>
      <c r="H146" s="3"/>
      <c r="I146" s="3"/>
    </row>
    <row r="147" spans="1:9" x14ac:dyDescent="0.2">
      <c r="A147" s="2"/>
      <c r="B147" s="2"/>
      <c r="C147" s="3"/>
      <c r="D147" s="3"/>
      <c r="E147" s="3"/>
      <c r="F147" s="3"/>
      <c r="G147" s="3"/>
      <c r="H147" s="3"/>
      <c r="I147" s="3"/>
    </row>
    <row r="148" spans="1:9" x14ac:dyDescent="0.2">
      <c r="A148" s="2"/>
      <c r="B148" s="2"/>
      <c r="C148" s="3"/>
      <c r="D148" s="3"/>
      <c r="E148" s="3"/>
      <c r="F148" s="3"/>
      <c r="G148" s="3"/>
      <c r="H148" s="3"/>
      <c r="I148" s="3"/>
    </row>
    <row r="149" spans="1:9" x14ac:dyDescent="0.2">
      <c r="A149" s="2"/>
      <c r="B149" s="2"/>
      <c r="C149" s="3"/>
      <c r="D149" s="3"/>
      <c r="E149" s="3"/>
      <c r="F149" s="3"/>
      <c r="G149" s="3"/>
      <c r="H149" s="3"/>
      <c r="I149" s="3"/>
    </row>
    <row r="150" spans="1:9" x14ac:dyDescent="0.2">
      <c r="A150" s="2"/>
      <c r="B150" s="2"/>
      <c r="C150" s="3"/>
      <c r="D150" s="3"/>
      <c r="E150" s="3"/>
      <c r="F150" s="3"/>
      <c r="G150" s="3"/>
      <c r="H150" s="3"/>
      <c r="I150" s="3"/>
    </row>
    <row r="151" spans="1:9" x14ac:dyDescent="0.2">
      <c r="A151" s="2"/>
      <c r="B151" s="2"/>
      <c r="C151" s="3"/>
      <c r="D151" s="3"/>
      <c r="E151" s="3"/>
      <c r="F151" s="3"/>
      <c r="G151" s="3"/>
      <c r="H151" s="3"/>
      <c r="I151" s="3"/>
    </row>
    <row r="152" spans="1:9" x14ac:dyDescent="0.2">
      <c r="A152" s="2"/>
      <c r="B152" s="2"/>
      <c r="C152" s="3"/>
      <c r="D152" s="3"/>
      <c r="E152" s="3"/>
      <c r="F152" s="3"/>
      <c r="G152" s="3"/>
      <c r="H152" s="3"/>
      <c r="I152" s="3"/>
    </row>
    <row r="153" spans="1:9" x14ac:dyDescent="0.2">
      <c r="A153" s="2"/>
      <c r="B153" s="2"/>
      <c r="C153" s="3"/>
      <c r="D153" s="3"/>
      <c r="E153" s="3"/>
      <c r="F153" s="3"/>
      <c r="G153" s="3"/>
      <c r="H153" s="3"/>
      <c r="I153" s="3"/>
    </row>
    <row r="154" spans="1:9" x14ac:dyDescent="0.2">
      <c r="A154" s="2"/>
      <c r="B154" s="2"/>
      <c r="C154" s="3"/>
      <c r="D154" s="3"/>
      <c r="E154" s="3"/>
      <c r="F154" s="3"/>
      <c r="G154" s="3"/>
      <c r="H154" s="3"/>
      <c r="I154" s="3"/>
    </row>
    <row r="155" spans="1:9" x14ac:dyDescent="0.2">
      <c r="A155" s="2"/>
      <c r="B155" s="2"/>
      <c r="C155" s="3"/>
      <c r="D155" s="3"/>
      <c r="E155" s="3"/>
      <c r="F155" s="3"/>
      <c r="G155" s="3"/>
      <c r="H155" s="3"/>
      <c r="I155" s="3"/>
    </row>
    <row r="156" spans="1:9" x14ac:dyDescent="0.2">
      <c r="A156" s="2"/>
      <c r="B156" s="2"/>
      <c r="C156" s="3"/>
      <c r="D156" s="3"/>
      <c r="E156" s="3"/>
      <c r="F156" s="3"/>
      <c r="G156" s="3"/>
      <c r="H156" s="3"/>
      <c r="I156" s="3"/>
    </row>
    <row r="157" spans="1:9" x14ac:dyDescent="0.2">
      <c r="A157" s="2"/>
      <c r="B157" s="2"/>
      <c r="C157" s="3"/>
      <c r="D157" s="3"/>
      <c r="E157" s="3"/>
      <c r="F157" s="3"/>
      <c r="G157" s="3"/>
      <c r="H157" s="3"/>
      <c r="I157" s="3"/>
    </row>
    <row r="158" spans="1:9" x14ac:dyDescent="0.2">
      <c r="A158" s="2"/>
      <c r="B158" s="2"/>
      <c r="C158" s="3"/>
      <c r="D158" s="3"/>
      <c r="E158" s="3"/>
      <c r="F158" s="3"/>
      <c r="G158" s="3"/>
      <c r="H158" s="3"/>
      <c r="I158" s="3"/>
    </row>
    <row r="159" spans="1:9" x14ac:dyDescent="0.2">
      <c r="A159" s="2"/>
      <c r="B159" s="2"/>
      <c r="C159" s="3"/>
      <c r="D159" s="3"/>
      <c r="E159" s="3"/>
      <c r="F159" s="3"/>
      <c r="G159" s="3"/>
      <c r="H159" s="3"/>
      <c r="I159" s="3"/>
    </row>
    <row r="160" spans="1:9" x14ac:dyDescent="0.2">
      <c r="A160" s="2"/>
      <c r="B160" s="2"/>
      <c r="C160" s="3"/>
      <c r="D160" s="3"/>
      <c r="E160" s="3"/>
      <c r="F160" s="3"/>
      <c r="G160" s="3"/>
      <c r="H160" s="3"/>
      <c r="I160" s="3"/>
    </row>
    <row r="161" spans="1:9" x14ac:dyDescent="0.2">
      <c r="A161" s="2"/>
      <c r="B161" s="2"/>
      <c r="C161" s="3"/>
      <c r="D161" s="3"/>
      <c r="E161" s="3"/>
      <c r="F161" s="3"/>
      <c r="G161" s="3"/>
      <c r="H161" s="3"/>
      <c r="I161" s="3"/>
    </row>
    <row r="162" spans="1:9" x14ac:dyDescent="0.2">
      <c r="A162" s="2"/>
      <c r="B162" s="2"/>
      <c r="C162" s="3"/>
      <c r="D162" s="3"/>
      <c r="E162" s="3"/>
      <c r="F162" s="3"/>
      <c r="G162" s="3"/>
      <c r="H162" s="3"/>
      <c r="I162" s="3"/>
    </row>
    <row r="163" spans="1:9" x14ac:dyDescent="0.2">
      <c r="A163" s="2"/>
      <c r="B163" s="2"/>
      <c r="C163" s="3"/>
      <c r="D163" s="3"/>
      <c r="E163" s="3"/>
      <c r="F163" s="3"/>
      <c r="G163" s="3"/>
      <c r="H163" s="3"/>
      <c r="I163" s="3"/>
    </row>
    <row r="164" spans="1:9" x14ac:dyDescent="0.2">
      <c r="A164" s="2"/>
      <c r="B164" s="2"/>
      <c r="C164" s="3"/>
      <c r="D164" s="3"/>
      <c r="E164" s="3"/>
      <c r="F164" s="3"/>
      <c r="G164" s="3"/>
      <c r="H164" s="3"/>
      <c r="I164" s="3"/>
    </row>
    <row r="165" spans="1:9" x14ac:dyDescent="0.2">
      <c r="A165" s="2"/>
      <c r="B165" s="2"/>
      <c r="C165" s="3"/>
      <c r="D165" s="3"/>
      <c r="E165" s="3"/>
      <c r="F165" s="3"/>
      <c r="G165" s="3"/>
      <c r="H165" s="3"/>
      <c r="I165" s="3"/>
    </row>
    <row r="166" spans="1:9" x14ac:dyDescent="0.2">
      <c r="A166" s="2"/>
      <c r="B166" s="2"/>
      <c r="C166" s="3"/>
      <c r="D166" s="3"/>
      <c r="E166" s="3"/>
      <c r="F166" s="3"/>
      <c r="G166" s="3"/>
      <c r="H166" s="3"/>
      <c r="I166" s="3"/>
    </row>
    <row r="167" spans="1:9" x14ac:dyDescent="0.2">
      <c r="A167" s="2"/>
      <c r="B167" s="2"/>
      <c r="C167" s="3"/>
      <c r="D167" s="3"/>
      <c r="E167" s="3"/>
      <c r="F167" s="3"/>
      <c r="G167" s="3"/>
      <c r="H167" s="3"/>
      <c r="I167" s="3"/>
    </row>
    <row r="168" spans="1:9" x14ac:dyDescent="0.2">
      <c r="A168" s="2"/>
      <c r="B168" s="2"/>
      <c r="C168" s="3"/>
      <c r="D168" s="3"/>
      <c r="E168" s="3"/>
      <c r="F168" s="3"/>
      <c r="G168" s="3"/>
      <c r="H168" s="3"/>
      <c r="I168" s="3"/>
    </row>
    <row r="169" spans="1:9" x14ac:dyDescent="0.2">
      <c r="A169" s="2"/>
      <c r="B169" s="2"/>
      <c r="C169" s="3"/>
      <c r="D169" s="3"/>
      <c r="E169" s="3"/>
      <c r="F169" s="3"/>
      <c r="G169" s="3"/>
      <c r="H169" s="3"/>
      <c r="I169" s="3"/>
    </row>
    <row r="170" spans="1:9" x14ac:dyDescent="0.2">
      <c r="A170" s="2"/>
      <c r="B170" s="2"/>
      <c r="C170" s="3"/>
      <c r="D170" s="3"/>
      <c r="E170" s="3"/>
      <c r="F170" s="3"/>
      <c r="G170" s="3"/>
      <c r="H170" s="3"/>
      <c r="I170" s="3"/>
    </row>
    <row r="171" spans="1:9" x14ac:dyDescent="0.2">
      <c r="A171" s="2"/>
      <c r="B171" s="2"/>
      <c r="C171" s="3"/>
      <c r="D171" s="3"/>
      <c r="E171" s="3"/>
      <c r="F171" s="3"/>
      <c r="G171" s="3"/>
      <c r="H171" s="3"/>
      <c r="I171" s="3"/>
    </row>
    <row r="172" spans="1:9" x14ac:dyDescent="0.2">
      <c r="A172" s="2"/>
      <c r="B172" s="2"/>
      <c r="C172" s="3"/>
      <c r="D172" s="3"/>
      <c r="E172" s="3"/>
      <c r="F172" s="3"/>
      <c r="G172" s="3"/>
      <c r="H172" s="3"/>
      <c r="I172" s="3"/>
    </row>
    <row r="173" spans="1:9" x14ac:dyDescent="0.2">
      <c r="A173" s="2"/>
      <c r="B173" s="2"/>
      <c r="C173" s="3"/>
      <c r="D173" s="3"/>
      <c r="E173" s="3"/>
      <c r="F173" s="3"/>
      <c r="G173" s="3"/>
      <c r="H173" s="3"/>
      <c r="I173" s="3"/>
    </row>
    <row r="174" spans="1:9" x14ac:dyDescent="0.2">
      <c r="A174" s="2"/>
      <c r="B174" s="2"/>
      <c r="C174" s="3"/>
      <c r="D174" s="3"/>
      <c r="E174" s="3"/>
      <c r="F174" s="3"/>
      <c r="G174" s="3"/>
      <c r="H174" s="3"/>
      <c r="I174" s="3"/>
    </row>
    <row r="175" spans="1:9" x14ac:dyDescent="0.2">
      <c r="A175" s="2"/>
      <c r="B175" s="2"/>
      <c r="C175" s="3"/>
      <c r="D175" s="3"/>
      <c r="E175" s="3"/>
      <c r="F175" s="3"/>
      <c r="G175" s="3"/>
      <c r="H175" s="3"/>
      <c r="I175" s="3"/>
    </row>
    <row r="176" spans="1:9" x14ac:dyDescent="0.2">
      <c r="A176" s="2"/>
      <c r="B176" s="2"/>
      <c r="C176" s="3"/>
      <c r="D176" s="3"/>
      <c r="E176" s="3"/>
      <c r="F176" s="3"/>
      <c r="G176" s="3"/>
      <c r="H176" s="3"/>
      <c r="I176" s="3"/>
    </row>
    <row r="177" spans="1:9" x14ac:dyDescent="0.2">
      <c r="A177" s="2"/>
      <c r="B177" s="2"/>
      <c r="C177" s="3"/>
      <c r="D177" s="3"/>
      <c r="E177" s="3"/>
      <c r="F177" s="3"/>
      <c r="G177" s="3"/>
      <c r="H177" s="3"/>
      <c r="I177" s="3"/>
    </row>
    <row r="178" spans="1:9" x14ac:dyDescent="0.2">
      <c r="A178" s="2"/>
      <c r="B178" s="2"/>
      <c r="C178" s="3"/>
      <c r="D178" s="3"/>
      <c r="E178" s="3"/>
      <c r="F178" s="3"/>
      <c r="G178" s="3"/>
      <c r="H178" s="3"/>
      <c r="I178" s="3"/>
    </row>
    <row r="179" spans="1:9" x14ac:dyDescent="0.2">
      <c r="A179" s="2"/>
      <c r="B179" s="2"/>
      <c r="C179" s="3"/>
      <c r="D179" s="3"/>
      <c r="E179" s="3"/>
      <c r="F179" s="3"/>
      <c r="G179" s="3"/>
      <c r="H179" s="3"/>
      <c r="I179" s="3"/>
    </row>
    <row r="180" spans="1:9" x14ac:dyDescent="0.2">
      <c r="A180" s="2"/>
      <c r="B180" s="2"/>
      <c r="C180" s="3"/>
      <c r="D180" s="3"/>
      <c r="E180" s="3"/>
      <c r="F180" s="3"/>
      <c r="G180" s="3"/>
      <c r="H180" s="3"/>
      <c r="I180" s="3"/>
    </row>
    <row r="181" spans="1:9" x14ac:dyDescent="0.2">
      <c r="A181" s="2"/>
      <c r="B181" s="2"/>
      <c r="C181" s="3"/>
      <c r="D181" s="3"/>
      <c r="E181" s="3"/>
      <c r="F181" s="3"/>
      <c r="G181" s="3"/>
      <c r="H181" s="3"/>
      <c r="I181" s="3"/>
    </row>
    <row r="182" spans="1:9" x14ac:dyDescent="0.2">
      <c r="A182" s="2"/>
      <c r="B182" s="2"/>
      <c r="C182" s="3"/>
      <c r="D182" s="3"/>
      <c r="E182" s="3"/>
      <c r="F182" s="3"/>
      <c r="G182" s="3"/>
      <c r="H182" s="3"/>
      <c r="I182" s="3"/>
    </row>
    <row r="183" spans="1:9" x14ac:dyDescent="0.2">
      <c r="A183" s="2"/>
      <c r="B183" s="2"/>
      <c r="C183" s="3"/>
      <c r="D183" s="3"/>
      <c r="E183" s="3"/>
      <c r="F183" s="3"/>
      <c r="G183" s="3"/>
      <c r="H183" s="3"/>
      <c r="I183" s="3"/>
    </row>
    <row r="184" spans="1:9" x14ac:dyDescent="0.2">
      <c r="A184" s="2"/>
      <c r="B184" s="2"/>
      <c r="C184" s="3"/>
      <c r="D184" s="3"/>
      <c r="E184" s="3"/>
      <c r="F184" s="3"/>
      <c r="G184" s="3"/>
      <c r="H184" s="3"/>
      <c r="I184" s="3"/>
    </row>
    <row r="185" spans="1:9" x14ac:dyDescent="0.2">
      <c r="A185" s="2"/>
      <c r="B185" s="2"/>
      <c r="C185" s="3"/>
      <c r="D185" s="3"/>
      <c r="E185" s="3"/>
      <c r="F185" s="3"/>
      <c r="G185" s="3"/>
      <c r="H185" s="3"/>
      <c r="I185" s="3"/>
    </row>
    <row r="186" spans="1:9" x14ac:dyDescent="0.2">
      <c r="A186" s="2"/>
      <c r="B186" s="2"/>
      <c r="C186" s="3"/>
      <c r="D186" s="3"/>
      <c r="E186" s="3"/>
      <c r="F186" s="3"/>
      <c r="G186" s="3"/>
      <c r="H186" s="3"/>
      <c r="I186" s="3"/>
    </row>
    <row r="187" spans="1:9" x14ac:dyDescent="0.2">
      <c r="A187" s="2"/>
      <c r="B187" s="2"/>
      <c r="C187" s="3"/>
      <c r="D187" s="3"/>
      <c r="E187" s="3"/>
      <c r="F187" s="3"/>
      <c r="G187" s="3"/>
      <c r="H187" s="3"/>
      <c r="I187" s="3"/>
    </row>
    <row r="188" spans="1:9" x14ac:dyDescent="0.2">
      <c r="A188" s="2"/>
      <c r="B188" s="2"/>
      <c r="C188" s="3"/>
      <c r="D188" s="3"/>
      <c r="E188" s="3"/>
      <c r="F188" s="3"/>
      <c r="G188" s="3"/>
      <c r="H188" s="3"/>
      <c r="I188" s="3"/>
    </row>
    <row r="189" spans="1:9" x14ac:dyDescent="0.2">
      <c r="A189" s="2"/>
      <c r="B189" s="2"/>
      <c r="C189" s="3"/>
      <c r="D189" s="3"/>
      <c r="E189" s="3"/>
      <c r="F189" s="3"/>
      <c r="G189" s="3"/>
      <c r="H189" s="3"/>
      <c r="I189" s="3"/>
    </row>
    <row r="190" spans="1:9" x14ac:dyDescent="0.2">
      <c r="A190" s="2"/>
      <c r="B190" s="2"/>
      <c r="C190" s="3"/>
      <c r="D190" s="3"/>
      <c r="E190" s="3"/>
      <c r="F190" s="3"/>
      <c r="G190" s="3"/>
      <c r="H190" s="3"/>
    </row>
    <row r="191" spans="1:9" x14ac:dyDescent="0.2">
      <c r="B191" s="2"/>
      <c r="C191" s="3"/>
      <c r="D191" s="3"/>
      <c r="E191" s="3"/>
      <c r="F191" s="3"/>
      <c r="G191" s="3"/>
      <c r="H191" s="3"/>
    </row>
  </sheetData>
  <sortState xmlns:xlrd2="http://schemas.microsoft.com/office/spreadsheetml/2017/richdata2" ref="J28:K74">
    <sortCondition descending="1" ref="K28:K7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A0EA-E01D-DF47-B7ED-079DB0115711}">
  <dimension ref="A1:T191"/>
  <sheetViews>
    <sheetView zoomScale="75" workbookViewId="0">
      <selection activeCell="G28" sqref="G28"/>
    </sheetView>
  </sheetViews>
  <sheetFormatPr baseColWidth="10" defaultRowHeight="16" x14ac:dyDescent="0.2"/>
  <cols>
    <col min="1" max="1" width="10.1640625" style="1" bestFit="1" customWidth="1"/>
    <col min="2" max="2" width="12.33203125" style="1" bestFit="1" customWidth="1"/>
    <col min="3" max="3" width="21" customWidth="1"/>
    <col min="4" max="4" width="6" bestFit="1" customWidth="1"/>
    <col min="5" max="5" width="27" customWidth="1"/>
    <col min="6" max="6" width="5.5" bestFit="1" customWidth="1"/>
    <col min="7" max="7" width="108.1640625" bestFit="1" customWidth="1"/>
    <col min="8" max="8" width="15.6640625" bestFit="1" customWidth="1"/>
    <col min="9" max="9" width="23.6640625" customWidth="1"/>
    <col min="10" max="10" width="37.6640625" bestFit="1" customWidth="1"/>
    <col min="16" max="16" width="11.6640625" bestFit="1" customWidth="1"/>
  </cols>
  <sheetData>
    <row r="1" spans="1:20" x14ac:dyDescent="0.2">
      <c r="A1" s="4" t="s">
        <v>0</v>
      </c>
      <c r="B1" s="4" t="s">
        <v>5</v>
      </c>
      <c r="C1" s="5" t="s">
        <v>1</v>
      </c>
      <c r="D1" s="5" t="s">
        <v>2</v>
      </c>
      <c r="E1" s="5" t="s">
        <v>71</v>
      </c>
      <c r="F1" s="5" t="s">
        <v>126</v>
      </c>
      <c r="G1" s="5" t="s">
        <v>3</v>
      </c>
      <c r="H1" s="5" t="s">
        <v>4</v>
      </c>
      <c r="I1" s="11"/>
      <c r="J1" s="11"/>
      <c r="K1" s="3"/>
      <c r="L1" s="3"/>
      <c r="M1" s="3"/>
      <c r="N1" s="3"/>
      <c r="O1" s="3"/>
      <c r="P1" s="3"/>
      <c r="Q1" s="3"/>
      <c r="R1" s="3"/>
      <c r="S1" s="3"/>
    </row>
    <row r="2" spans="1:20" x14ac:dyDescent="0.2">
      <c r="A2" s="6">
        <v>297</v>
      </c>
      <c r="B2" s="6" t="s">
        <v>358</v>
      </c>
      <c r="C2" s="7" t="s">
        <v>130</v>
      </c>
      <c r="D2" s="7">
        <v>2024</v>
      </c>
      <c r="E2" s="7" t="s">
        <v>128</v>
      </c>
      <c r="F2" s="7" t="s">
        <v>127</v>
      </c>
      <c r="G2" s="7" t="s">
        <v>359</v>
      </c>
      <c r="H2" s="7" t="s">
        <v>351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20" x14ac:dyDescent="0.2">
      <c r="A3" s="14">
        <v>298</v>
      </c>
      <c r="B3" s="14" t="s">
        <v>360</v>
      </c>
      <c r="C3" s="20"/>
      <c r="D3" s="20"/>
      <c r="E3" s="20"/>
      <c r="F3" s="20"/>
      <c r="G3" s="20"/>
      <c r="H3" s="20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20" x14ac:dyDescent="0.2">
      <c r="A4" s="6">
        <v>299</v>
      </c>
      <c r="B4" s="6" t="s">
        <v>28</v>
      </c>
      <c r="C4" s="7" t="s">
        <v>49</v>
      </c>
      <c r="D4" s="7">
        <v>2020</v>
      </c>
      <c r="E4" s="7" t="s">
        <v>128</v>
      </c>
      <c r="F4" s="7" t="s">
        <v>127</v>
      </c>
      <c r="G4" s="7" t="s">
        <v>350</v>
      </c>
      <c r="H4" s="7" t="s">
        <v>351</v>
      </c>
      <c r="I4" s="3"/>
      <c r="J4" s="7" t="s">
        <v>208</v>
      </c>
      <c r="K4" s="7" t="s">
        <v>7</v>
      </c>
      <c r="L4" s="7" t="s">
        <v>49</v>
      </c>
      <c r="M4" s="7" t="s">
        <v>136</v>
      </c>
      <c r="N4" s="7" t="s">
        <v>130</v>
      </c>
      <c r="O4" s="7" t="s">
        <v>167</v>
      </c>
      <c r="P4" s="7" t="s">
        <v>211</v>
      </c>
      <c r="Q4" s="3"/>
      <c r="R4" s="3"/>
      <c r="S4" s="3"/>
      <c r="T4" s="3"/>
    </row>
    <row r="5" spans="1:20" x14ac:dyDescent="0.2">
      <c r="A5" s="14">
        <v>300</v>
      </c>
      <c r="B5" s="14" t="s">
        <v>171</v>
      </c>
      <c r="C5" s="20"/>
      <c r="D5" s="20"/>
      <c r="E5" s="20"/>
      <c r="F5" s="20"/>
      <c r="G5" s="20"/>
      <c r="H5" s="20"/>
      <c r="I5" s="3"/>
      <c r="J5" s="7" t="s">
        <v>209</v>
      </c>
      <c r="K5" s="7">
        <v>2</v>
      </c>
      <c r="L5" s="7">
        <f>COUNTIF(C2:C120,L4)</f>
        <v>3</v>
      </c>
      <c r="M5" s="7">
        <f>COUNTIF(C2:C120,M4)</f>
        <v>2</v>
      </c>
      <c r="N5" s="7">
        <f>COUNTIF(C2:C120,N4)</f>
        <v>1</v>
      </c>
      <c r="O5" s="7">
        <f>COUNTIF(C2:C120,O4)</f>
        <v>0</v>
      </c>
      <c r="P5" s="7">
        <f ca="1">SUM(K5:T5)</f>
        <v>8</v>
      </c>
      <c r="Q5" s="3"/>
      <c r="R5" s="3"/>
      <c r="S5" s="3"/>
    </row>
    <row r="6" spans="1:20" x14ac:dyDescent="0.2">
      <c r="A6" s="14">
        <v>301</v>
      </c>
      <c r="B6" s="14" t="s">
        <v>77</v>
      </c>
      <c r="C6" s="20"/>
      <c r="D6" s="20"/>
      <c r="E6" s="20"/>
      <c r="F6" s="20"/>
      <c r="G6" s="20"/>
      <c r="H6" s="20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20" x14ac:dyDescent="0.2">
      <c r="A7" s="14">
        <v>302</v>
      </c>
      <c r="B7" s="14" t="s">
        <v>45</v>
      </c>
      <c r="C7" s="20"/>
      <c r="D7" s="20"/>
      <c r="E7" s="20"/>
      <c r="F7" s="20"/>
      <c r="G7" s="20"/>
      <c r="H7" s="20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20" x14ac:dyDescent="0.2">
      <c r="A8" s="6">
        <v>303</v>
      </c>
      <c r="B8" s="6" t="s">
        <v>353</v>
      </c>
      <c r="C8" s="7" t="s">
        <v>7</v>
      </c>
      <c r="D8" s="7">
        <v>2018</v>
      </c>
      <c r="E8" s="7" t="s">
        <v>128</v>
      </c>
      <c r="F8" s="7" t="s">
        <v>127</v>
      </c>
      <c r="G8" s="7" t="s">
        <v>354</v>
      </c>
      <c r="H8" s="7" t="s">
        <v>351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20" x14ac:dyDescent="0.2">
      <c r="A9" s="14">
        <v>304</v>
      </c>
      <c r="B9" s="14" t="s">
        <v>66</v>
      </c>
      <c r="C9" s="20"/>
      <c r="D9" s="20"/>
      <c r="E9" s="20"/>
      <c r="F9" s="20"/>
      <c r="G9" s="20"/>
      <c r="H9" s="20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20" x14ac:dyDescent="0.2">
      <c r="A10" s="14">
        <v>305</v>
      </c>
      <c r="B10" s="14" t="s">
        <v>66</v>
      </c>
      <c r="C10" s="20"/>
      <c r="D10" s="20"/>
      <c r="E10" s="20"/>
      <c r="F10" s="20"/>
      <c r="G10" s="20"/>
      <c r="H10" s="20"/>
      <c r="I10" s="3"/>
      <c r="J10" s="7" t="s">
        <v>208</v>
      </c>
      <c r="K10" s="7" t="s">
        <v>7</v>
      </c>
      <c r="L10" s="7" t="s">
        <v>49</v>
      </c>
      <c r="M10" s="7" t="s">
        <v>136</v>
      </c>
      <c r="N10" s="7" t="s">
        <v>130</v>
      </c>
      <c r="O10" s="7" t="s">
        <v>167</v>
      </c>
      <c r="P10" s="7" t="s">
        <v>211</v>
      </c>
      <c r="Q10" s="3"/>
      <c r="R10" s="3"/>
      <c r="S10" s="3"/>
      <c r="T10" s="3"/>
    </row>
    <row r="11" spans="1:20" x14ac:dyDescent="0.2">
      <c r="A11" s="27">
        <v>306</v>
      </c>
      <c r="B11" s="6" t="s">
        <v>355</v>
      </c>
      <c r="C11" s="7" t="s">
        <v>7</v>
      </c>
      <c r="D11" s="7">
        <v>2018</v>
      </c>
      <c r="E11" s="7" t="s">
        <v>128</v>
      </c>
      <c r="F11" s="7" t="s">
        <v>127</v>
      </c>
      <c r="G11" s="7" t="s">
        <v>356</v>
      </c>
      <c r="H11" s="7" t="s">
        <v>351</v>
      </c>
      <c r="I11" s="3"/>
      <c r="J11" s="7" t="s">
        <v>210</v>
      </c>
      <c r="K11" s="7">
        <v>2</v>
      </c>
      <c r="L11" s="7">
        <v>3</v>
      </c>
      <c r="M11" s="7">
        <v>2</v>
      </c>
      <c r="N11" s="7">
        <v>1</v>
      </c>
      <c r="O11" s="7">
        <f>COUNTIFS(C2:C66,O10, F2:F66,F3)</f>
        <v>0</v>
      </c>
      <c r="P11" s="7">
        <f ca="1">SUM(K11:T11)</f>
        <v>8</v>
      </c>
      <c r="Q11" s="3"/>
      <c r="R11" s="3"/>
      <c r="S11" s="3"/>
      <c r="T11" s="3"/>
    </row>
    <row r="12" spans="1:20" x14ac:dyDescent="0.2">
      <c r="A12" s="6">
        <v>307</v>
      </c>
      <c r="B12" s="6" t="s">
        <v>33</v>
      </c>
      <c r="C12" s="7" t="s">
        <v>49</v>
      </c>
      <c r="D12" s="7">
        <v>2023</v>
      </c>
      <c r="E12" s="7" t="s">
        <v>128</v>
      </c>
      <c r="F12" s="7" t="s">
        <v>127</v>
      </c>
      <c r="G12" s="7" t="s">
        <v>357</v>
      </c>
      <c r="H12" s="7" t="s">
        <v>351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20" x14ac:dyDescent="0.2">
      <c r="A13" s="14">
        <v>308</v>
      </c>
      <c r="B13" s="14" t="s">
        <v>43</v>
      </c>
      <c r="C13" s="20"/>
      <c r="D13" s="20"/>
      <c r="E13" s="20"/>
      <c r="F13" s="20"/>
      <c r="G13" s="20"/>
      <c r="H13" s="20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20" x14ac:dyDescent="0.2">
      <c r="A14" s="6">
        <v>309</v>
      </c>
      <c r="B14" s="6" t="s">
        <v>50</v>
      </c>
      <c r="C14" s="7" t="s">
        <v>136</v>
      </c>
      <c r="D14" s="7">
        <v>2022</v>
      </c>
      <c r="E14" s="7" t="s">
        <v>128</v>
      </c>
      <c r="F14" s="7" t="s">
        <v>127</v>
      </c>
      <c r="G14" s="7" t="s">
        <v>361</v>
      </c>
      <c r="H14" s="7" t="s">
        <v>351</v>
      </c>
      <c r="I14" s="3"/>
      <c r="J14" s="7" t="s">
        <v>208</v>
      </c>
      <c r="K14" s="7" t="s">
        <v>7</v>
      </c>
      <c r="L14" s="7" t="s">
        <v>49</v>
      </c>
      <c r="M14" s="7" t="s">
        <v>136</v>
      </c>
      <c r="N14" s="7" t="s">
        <v>130</v>
      </c>
      <c r="O14" s="7" t="s">
        <v>167</v>
      </c>
      <c r="P14" s="7" t="s">
        <v>211</v>
      </c>
      <c r="Q14" s="3"/>
      <c r="R14" s="3"/>
      <c r="S14" s="3"/>
      <c r="T14" s="3"/>
    </row>
    <row r="15" spans="1:20" x14ac:dyDescent="0.2">
      <c r="A15" s="14">
        <v>310</v>
      </c>
      <c r="B15" s="14" t="s">
        <v>90</v>
      </c>
      <c r="C15" s="20"/>
      <c r="D15" s="20"/>
      <c r="E15" s="20"/>
      <c r="F15" s="20"/>
      <c r="G15" s="20"/>
      <c r="H15" s="20"/>
      <c r="I15" s="3"/>
      <c r="J15" s="7" t="s">
        <v>213</v>
      </c>
      <c r="K15" s="7">
        <v>2</v>
      </c>
      <c r="L15" s="7">
        <v>3</v>
      </c>
      <c r="M15" s="7">
        <v>2</v>
      </c>
      <c r="N15" s="7">
        <v>1</v>
      </c>
      <c r="O15" s="7">
        <v>0</v>
      </c>
      <c r="P15" s="7">
        <f ca="1">SUM(K15:T15)</f>
        <v>8</v>
      </c>
      <c r="Q15" s="3"/>
      <c r="R15" s="3"/>
      <c r="S15" s="3"/>
    </row>
    <row r="16" spans="1:20" x14ac:dyDescent="0.2">
      <c r="A16" s="14">
        <v>311</v>
      </c>
      <c r="B16" s="14" t="s">
        <v>6</v>
      </c>
      <c r="C16" s="20"/>
      <c r="D16" s="20"/>
      <c r="E16" s="20"/>
      <c r="F16" s="20"/>
      <c r="G16" s="20"/>
      <c r="H16" s="20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2">
      <c r="A17" s="14">
        <v>312</v>
      </c>
      <c r="B17" s="14" t="s">
        <v>72</v>
      </c>
      <c r="C17" s="20"/>
      <c r="D17" s="20"/>
      <c r="E17" s="20"/>
      <c r="F17" s="20"/>
      <c r="G17" s="20"/>
      <c r="H17" s="20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2">
      <c r="A18" s="14">
        <v>313</v>
      </c>
      <c r="B18" s="14" t="s">
        <v>81</v>
      </c>
      <c r="C18" s="20"/>
      <c r="D18" s="20"/>
      <c r="E18" s="20"/>
      <c r="F18" s="20"/>
      <c r="G18" s="20"/>
      <c r="H18" s="20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">
      <c r="A19" s="14">
        <v>314</v>
      </c>
      <c r="B19" s="14"/>
      <c r="C19" s="20"/>
      <c r="D19" s="20"/>
      <c r="E19" s="20"/>
      <c r="F19" s="20"/>
      <c r="G19" s="20"/>
      <c r="H19" s="20"/>
      <c r="I19" s="3"/>
      <c r="J19" s="7" t="s">
        <v>304</v>
      </c>
      <c r="K19" s="30">
        <f>((1*1)/8) * 100</f>
        <v>12.5</v>
      </c>
      <c r="L19" s="3"/>
      <c r="M19" s="3"/>
      <c r="N19" s="3"/>
      <c r="O19" s="3"/>
      <c r="P19" s="3"/>
      <c r="Q19" s="3"/>
      <c r="R19" s="3"/>
      <c r="S19" s="3"/>
    </row>
    <row r="20" spans="1:19" x14ac:dyDescent="0.2">
      <c r="A20" s="14">
        <v>315</v>
      </c>
      <c r="B20" s="14" t="s">
        <v>27</v>
      </c>
      <c r="C20" s="20"/>
      <c r="D20" s="20"/>
      <c r="E20" s="20"/>
      <c r="F20" s="20"/>
      <c r="G20" s="20"/>
      <c r="H20" s="20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2">
      <c r="A21" s="14">
        <v>316</v>
      </c>
      <c r="B21" s="14" t="s">
        <v>169</v>
      </c>
      <c r="C21" s="20"/>
      <c r="D21" s="20"/>
      <c r="E21" s="20"/>
      <c r="F21" s="20"/>
      <c r="G21" s="20"/>
      <c r="H21" s="20"/>
      <c r="I21" s="3"/>
      <c r="J21" s="7" t="s">
        <v>212</v>
      </c>
      <c r="K21" s="7">
        <f>AVERAGE(D2:D25)</f>
        <v>2021</v>
      </c>
      <c r="L21" s="3"/>
      <c r="M21" s="3"/>
      <c r="N21" s="3"/>
      <c r="O21" s="3"/>
      <c r="P21" s="3"/>
      <c r="Q21" s="3"/>
      <c r="R21" s="3"/>
      <c r="S21" s="3"/>
    </row>
    <row r="22" spans="1:19" x14ac:dyDescent="0.2">
      <c r="A22" s="6">
        <v>317</v>
      </c>
      <c r="B22" s="6" t="s">
        <v>28</v>
      </c>
      <c r="C22" s="7" t="s">
        <v>49</v>
      </c>
      <c r="D22" s="7">
        <v>2019</v>
      </c>
      <c r="E22" s="7" t="s">
        <v>127</v>
      </c>
      <c r="F22" s="7" t="s">
        <v>127</v>
      </c>
      <c r="G22" s="7" t="s">
        <v>366</v>
      </c>
      <c r="H22" s="7" t="s">
        <v>351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2">
      <c r="A23" s="27">
        <v>318</v>
      </c>
      <c r="B23" s="6" t="s">
        <v>367</v>
      </c>
      <c r="C23" s="7" t="s">
        <v>136</v>
      </c>
      <c r="D23" s="7">
        <v>2024</v>
      </c>
      <c r="E23" s="7" t="s">
        <v>128</v>
      </c>
      <c r="F23" s="7" t="s">
        <v>127</v>
      </c>
      <c r="G23" s="7" t="s">
        <v>368</v>
      </c>
      <c r="H23" s="7" t="s">
        <v>351</v>
      </c>
      <c r="I23" s="3"/>
      <c r="J23" s="24"/>
      <c r="K23" s="24"/>
      <c r="L23" s="3"/>
      <c r="M23" s="3"/>
      <c r="N23" s="3"/>
      <c r="O23" s="3"/>
      <c r="P23" s="3"/>
      <c r="Q23" s="3"/>
      <c r="R23" s="3"/>
      <c r="S23" s="3"/>
    </row>
    <row r="24" spans="1:19" x14ac:dyDescent="0.2">
      <c r="A24" s="14">
        <v>319</v>
      </c>
      <c r="B24" s="14" t="s">
        <v>369</v>
      </c>
      <c r="C24" s="20"/>
      <c r="D24" s="20"/>
      <c r="E24" s="20"/>
      <c r="F24" s="20"/>
      <c r="G24" s="20"/>
      <c r="H24" s="20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2">
      <c r="A25" s="14">
        <v>320</v>
      </c>
      <c r="B25" s="14" t="s">
        <v>27</v>
      </c>
      <c r="C25" s="20"/>
      <c r="D25" s="20"/>
      <c r="E25" s="20"/>
      <c r="F25" s="20"/>
      <c r="G25" s="20"/>
      <c r="H25" s="20"/>
      <c r="I25" s="3"/>
      <c r="J25" s="19" t="s">
        <v>216</v>
      </c>
      <c r="K25" s="19" t="s">
        <v>254</v>
      </c>
      <c r="L25" s="3"/>
      <c r="M25" s="3"/>
      <c r="N25" s="3"/>
      <c r="O25" s="3"/>
      <c r="P25" s="3"/>
      <c r="Q25" s="3"/>
      <c r="R25" s="3"/>
      <c r="S25" s="3"/>
    </row>
    <row r="26" spans="1:19" x14ac:dyDescent="0.2">
      <c r="A26" s="2"/>
      <c r="B26" s="2"/>
      <c r="C26" s="3"/>
      <c r="D26" s="3"/>
      <c r="E26" s="3"/>
      <c r="F26" s="3"/>
      <c r="G26" s="3"/>
      <c r="H26" s="3"/>
      <c r="I26" s="3"/>
      <c r="J26" s="23" t="s">
        <v>217</v>
      </c>
      <c r="K26" s="22">
        <v>3</v>
      </c>
      <c r="L26" s="3"/>
      <c r="M26" s="3"/>
      <c r="N26" s="3"/>
      <c r="O26" s="3"/>
      <c r="P26" s="3"/>
      <c r="Q26" s="3"/>
      <c r="R26" s="3"/>
      <c r="S26" s="3"/>
    </row>
    <row r="27" spans="1:19" x14ac:dyDescent="0.2">
      <c r="A27" s="2"/>
      <c r="B27" s="2"/>
      <c r="C27" s="3"/>
      <c r="D27" s="3"/>
      <c r="E27" s="3"/>
      <c r="F27" s="3"/>
      <c r="G27" s="3"/>
      <c r="H27" s="3"/>
      <c r="I27" s="3"/>
      <c r="J27" s="23" t="s">
        <v>170</v>
      </c>
      <c r="K27" s="22">
        <v>2</v>
      </c>
      <c r="L27" s="3"/>
      <c r="M27" s="3"/>
      <c r="N27" s="3"/>
      <c r="O27" s="3"/>
      <c r="P27" s="3"/>
      <c r="Q27" s="3"/>
      <c r="R27" s="3"/>
      <c r="S27" s="3"/>
    </row>
    <row r="28" spans="1:19" x14ac:dyDescent="0.2">
      <c r="A28" s="2"/>
      <c r="B28" s="2"/>
      <c r="C28" s="3"/>
      <c r="D28" s="3"/>
      <c r="E28" s="3"/>
      <c r="F28" s="3"/>
      <c r="G28" s="3"/>
      <c r="H28" s="3"/>
      <c r="I28" s="3"/>
      <c r="J28" s="23" t="s">
        <v>487</v>
      </c>
      <c r="K28" s="22">
        <v>2</v>
      </c>
      <c r="L28" s="3"/>
      <c r="M28" s="3"/>
      <c r="N28" s="3"/>
      <c r="O28" s="3"/>
      <c r="P28" s="3"/>
      <c r="Q28" s="3"/>
      <c r="R28" s="3"/>
      <c r="S28" s="3"/>
    </row>
    <row r="29" spans="1:19" x14ac:dyDescent="0.2">
      <c r="A29" s="2"/>
      <c r="B29" s="2"/>
      <c r="C29" s="3"/>
      <c r="D29" s="3"/>
      <c r="E29" s="3"/>
      <c r="F29" s="3"/>
      <c r="G29" s="3"/>
      <c r="H29" s="3"/>
      <c r="I29" s="3"/>
      <c r="J29" s="23" t="s">
        <v>483</v>
      </c>
      <c r="K29" s="22">
        <v>1</v>
      </c>
      <c r="L29" s="3"/>
      <c r="M29" s="3"/>
      <c r="N29" s="3"/>
      <c r="O29" s="3"/>
      <c r="P29" s="3"/>
      <c r="Q29" s="3"/>
      <c r="R29" s="3"/>
      <c r="S29" s="3"/>
    </row>
    <row r="30" spans="1:19" x14ac:dyDescent="0.2">
      <c r="A30" s="2"/>
      <c r="B30" s="2"/>
      <c r="C30" s="3"/>
      <c r="D30" s="3"/>
      <c r="E30" s="3"/>
      <c r="F30" s="3"/>
      <c r="G30" s="3"/>
      <c r="H30" s="3"/>
      <c r="I30" s="3"/>
      <c r="J30" s="23" t="s">
        <v>484</v>
      </c>
      <c r="K30" s="22">
        <v>1</v>
      </c>
      <c r="L30" s="3"/>
      <c r="M30" s="3"/>
      <c r="N30" s="3"/>
      <c r="O30" s="3"/>
      <c r="P30" s="3"/>
      <c r="Q30" s="3"/>
      <c r="R30" s="3"/>
      <c r="S30" s="3"/>
    </row>
    <row r="31" spans="1:19" x14ac:dyDescent="0.2">
      <c r="A31" s="2"/>
      <c r="B31" s="2"/>
      <c r="C31" s="3"/>
      <c r="D31" s="3"/>
      <c r="E31" s="3"/>
      <c r="F31" s="3"/>
      <c r="G31" s="3"/>
      <c r="H31" s="3"/>
      <c r="I31" s="3"/>
      <c r="J31" s="23" t="s">
        <v>244</v>
      </c>
      <c r="K31" s="22">
        <v>1</v>
      </c>
      <c r="L31" s="3"/>
      <c r="M31" s="3"/>
      <c r="N31" s="3"/>
      <c r="O31" s="3"/>
      <c r="P31" s="3"/>
      <c r="Q31" s="3"/>
      <c r="R31" s="3"/>
      <c r="S31" s="3"/>
    </row>
    <row r="32" spans="1:19" x14ac:dyDescent="0.2">
      <c r="A32" s="2"/>
      <c r="B32" s="2"/>
      <c r="C32" s="3"/>
      <c r="D32" s="3"/>
      <c r="E32" s="3"/>
      <c r="F32" s="3"/>
      <c r="G32" s="3"/>
      <c r="H32" s="3"/>
      <c r="I32" s="3"/>
      <c r="J32" s="23" t="s">
        <v>474</v>
      </c>
      <c r="K32" s="22">
        <v>1</v>
      </c>
      <c r="L32" s="3"/>
      <c r="M32" s="3"/>
      <c r="N32" s="3"/>
      <c r="O32" s="3"/>
      <c r="P32" s="3"/>
      <c r="Q32" s="3"/>
      <c r="R32" s="3"/>
      <c r="S32" s="3"/>
    </row>
    <row r="33" spans="1:19" x14ac:dyDescent="0.2">
      <c r="A33" s="2"/>
      <c r="B33" s="2"/>
      <c r="C33" s="3"/>
      <c r="D33" s="3"/>
      <c r="E33" s="3"/>
      <c r="F33" s="3"/>
      <c r="G33" s="3"/>
      <c r="H33" s="3"/>
      <c r="I33" s="3"/>
      <c r="J33" s="23" t="s">
        <v>450</v>
      </c>
      <c r="K33" s="22">
        <v>1</v>
      </c>
      <c r="L33" s="3"/>
      <c r="M33" s="3"/>
      <c r="N33" s="3"/>
      <c r="O33" s="3"/>
      <c r="P33" s="3"/>
      <c r="Q33" s="3"/>
      <c r="R33" s="3"/>
      <c r="S33" s="3"/>
    </row>
    <row r="34" spans="1:19" x14ac:dyDescent="0.2">
      <c r="A34" s="2"/>
      <c r="B34" s="2"/>
      <c r="C34" s="3"/>
      <c r="D34" s="3"/>
      <c r="E34" s="3"/>
      <c r="F34" s="3"/>
      <c r="G34" s="3"/>
      <c r="H34" s="3"/>
      <c r="I34" s="3"/>
      <c r="J34" s="23" t="s">
        <v>222</v>
      </c>
      <c r="K34" s="22">
        <v>1</v>
      </c>
      <c r="L34" s="3"/>
      <c r="M34" s="3"/>
      <c r="N34" s="3"/>
      <c r="O34" s="3"/>
      <c r="P34" s="3"/>
      <c r="Q34" s="3"/>
      <c r="R34" s="3"/>
      <c r="S34" s="3"/>
    </row>
    <row r="35" spans="1:19" x14ac:dyDescent="0.2">
      <c r="A35" s="2"/>
      <c r="B35" s="2"/>
      <c r="C35" s="3"/>
      <c r="D35" s="3"/>
      <c r="E35" s="3"/>
      <c r="F35" s="3"/>
      <c r="G35" s="3"/>
      <c r="H35" s="3"/>
      <c r="I35" s="3"/>
      <c r="J35" s="23" t="s">
        <v>485</v>
      </c>
      <c r="K35" s="22">
        <v>1</v>
      </c>
      <c r="L35" s="3"/>
      <c r="M35" s="3"/>
      <c r="N35" s="3"/>
      <c r="O35" s="3"/>
      <c r="P35" s="3"/>
      <c r="Q35" s="3"/>
      <c r="R35" s="3"/>
      <c r="S35" s="3"/>
    </row>
    <row r="36" spans="1:19" x14ac:dyDescent="0.2">
      <c r="A36" s="2"/>
      <c r="B36" s="2"/>
      <c r="C36" s="3"/>
      <c r="D36" s="3"/>
      <c r="E36" s="3"/>
      <c r="F36" s="3"/>
      <c r="G36" s="3"/>
      <c r="H36" s="3"/>
      <c r="I36" s="3"/>
      <c r="J36" s="23" t="s">
        <v>486</v>
      </c>
      <c r="K36" s="22">
        <v>1</v>
      </c>
      <c r="L36" s="3"/>
      <c r="M36" s="3"/>
      <c r="N36" s="3"/>
      <c r="O36" s="3"/>
      <c r="P36" s="3"/>
      <c r="Q36" s="3"/>
      <c r="R36" s="3"/>
      <c r="S36" s="3"/>
    </row>
    <row r="37" spans="1:19" x14ac:dyDescent="0.2">
      <c r="A37" s="2"/>
      <c r="B37" s="2"/>
      <c r="C37" s="3"/>
      <c r="D37" s="3"/>
      <c r="E37" s="3"/>
      <c r="F37" s="3"/>
      <c r="G37" s="3"/>
      <c r="H37" s="3"/>
      <c r="I37" s="3"/>
      <c r="J37" s="23" t="s">
        <v>488</v>
      </c>
      <c r="K37" s="22">
        <v>1</v>
      </c>
      <c r="L37" s="3"/>
      <c r="M37" s="3"/>
      <c r="N37" s="3"/>
      <c r="O37" s="3"/>
      <c r="P37" s="3"/>
      <c r="Q37" s="3"/>
      <c r="R37" s="3"/>
      <c r="S37" s="3"/>
    </row>
    <row r="38" spans="1:19" x14ac:dyDescent="0.2">
      <c r="A38" s="2"/>
      <c r="B38" s="2"/>
      <c r="C38" s="3"/>
      <c r="D38" s="3"/>
      <c r="E38" s="3"/>
      <c r="F38" s="3"/>
      <c r="G38" s="3"/>
      <c r="H38" s="3"/>
      <c r="I38" s="3"/>
      <c r="J38" s="25"/>
      <c r="K38" s="31"/>
      <c r="L38" s="3"/>
      <c r="M38" s="3"/>
      <c r="N38" s="3"/>
      <c r="O38" s="3"/>
      <c r="P38" s="3"/>
      <c r="Q38" s="3"/>
      <c r="R38" s="3"/>
      <c r="S38" s="3"/>
    </row>
    <row r="39" spans="1:19" x14ac:dyDescent="0.2">
      <c r="A39" s="2"/>
      <c r="B39" s="2"/>
      <c r="C39" s="3"/>
      <c r="D39" s="3"/>
      <c r="E39" s="3"/>
      <c r="F39" s="3"/>
      <c r="G39" s="3"/>
      <c r="H39" s="3"/>
      <c r="I39" s="3"/>
      <c r="J39" s="3"/>
      <c r="K39" s="31"/>
      <c r="L39" s="3"/>
      <c r="M39" s="3"/>
      <c r="N39" s="3"/>
      <c r="O39" s="3"/>
      <c r="P39" s="3"/>
      <c r="Q39" s="3"/>
      <c r="R39" s="3"/>
      <c r="S39" s="3"/>
    </row>
    <row r="40" spans="1:19" x14ac:dyDescent="0.2">
      <c r="A40" s="21"/>
      <c r="B40" s="2"/>
      <c r="C40" s="3"/>
      <c r="D40" s="3"/>
      <c r="E40" s="3"/>
      <c r="F40" s="3"/>
      <c r="G40" s="3"/>
      <c r="H40" s="3"/>
      <c r="I40" s="3"/>
      <c r="J40" s="3"/>
      <c r="K40" s="31"/>
      <c r="L40" s="3"/>
      <c r="M40" s="3"/>
      <c r="N40" s="3"/>
      <c r="O40" s="3"/>
      <c r="P40" s="3"/>
      <c r="Q40" s="3"/>
      <c r="R40" s="3"/>
      <c r="S40" s="3"/>
    </row>
    <row r="41" spans="1:19" x14ac:dyDescent="0.2">
      <c r="A41" s="2"/>
      <c r="B41" s="2"/>
      <c r="C41" s="3"/>
      <c r="D41" s="3"/>
      <c r="E41" s="3"/>
      <c r="F41" s="3"/>
      <c r="G41" s="3"/>
      <c r="H41" s="3"/>
      <c r="I41" s="3"/>
      <c r="J41" s="25"/>
      <c r="K41" s="31"/>
      <c r="L41" s="3"/>
      <c r="M41" s="3"/>
      <c r="N41" s="3"/>
      <c r="O41" s="3"/>
      <c r="P41" s="3"/>
      <c r="Q41" s="3"/>
      <c r="R41" s="3"/>
      <c r="S41" s="3"/>
    </row>
    <row r="42" spans="1:19" x14ac:dyDescent="0.2">
      <c r="A42" s="2"/>
      <c r="B42" s="2"/>
      <c r="C42" s="3"/>
      <c r="D42" s="3"/>
      <c r="E42" s="3"/>
      <c r="F42" s="3"/>
      <c r="G42" s="3"/>
      <c r="H42" s="3"/>
      <c r="I42" s="3"/>
      <c r="J42" s="25"/>
      <c r="K42" s="31"/>
      <c r="L42" s="3"/>
      <c r="M42" s="3"/>
      <c r="N42" s="3"/>
      <c r="O42" s="3"/>
      <c r="P42" s="3"/>
      <c r="Q42" s="3"/>
      <c r="R42" s="3"/>
      <c r="S42" s="3"/>
    </row>
    <row r="43" spans="1:19" x14ac:dyDescent="0.2">
      <c r="A43" s="2"/>
      <c r="B43" s="2"/>
      <c r="C43" s="3"/>
      <c r="D43" s="3"/>
      <c r="E43" s="3"/>
      <c r="F43" s="3"/>
      <c r="G43" s="3"/>
      <c r="H43" s="3"/>
      <c r="I43" s="3"/>
      <c r="J43" s="25"/>
      <c r="K43" s="31"/>
      <c r="L43" s="3"/>
      <c r="M43" s="3"/>
      <c r="N43" s="3"/>
      <c r="O43" s="3"/>
      <c r="P43" s="3"/>
      <c r="Q43" s="3"/>
      <c r="R43" s="3"/>
      <c r="S43" s="3"/>
    </row>
    <row r="44" spans="1:19" x14ac:dyDescent="0.2">
      <c r="A44" s="2"/>
      <c r="B44" s="2"/>
      <c r="C44" s="3"/>
      <c r="D44" s="3"/>
      <c r="E44" s="3"/>
      <c r="F44" s="3"/>
      <c r="G44" s="3"/>
      <c r="H44" s="3"/>
      <c r="I44" s="3"/>
      <c r="J44" s="25"/>
      <c r="K44" s="31"/>
      <c r="L44" s="3"/>
      <c r="M44" s="3"/>
      <c r="N44" s="3"/>
      <c r="O44" s="3"/>
      <c r="P44" s="3"/>
      <c r="Q44" s="3"/>
      <c r="R44" s="3"/>
      <c r="S44" s="3"/>
    </row>
    <row r="45" spans="1:19" x14ac:dyDescent="0.2">
      <c r="A45" s="2"/>
      <c r="B45" s="2"/>
      <c r="C45" s="3"/>
      <c r="D45" s="3"/>
      <c r="E45" s="3"/>
      <c r="F45" s="3"/>
      <c r="G45" s="3"/>
      <c r="H45" s="3"/>
      <c r="I45" s="3"/>
      <c r="J45" s="25"/>
      <c r="K45" s="31"/>
      <c r="L45" s="3"/>
      <c r="M45" s="3"/>
      <c r="N45" s="3"/>
      <c r="O45" s="3"/>
      <c r="P45" s="3"/>
      <c r="Q45" s="3"/>
      <c r="R45" s="3"/>
      <c r="S45" s="3"/>
    </row>
    <row r="46" spans="1:19" x14ac:dyDescent="0.2">
      <c r="A46" s="2"/>
      <c r="B46" s="2"/>
      <c r="C46" s="3"/>
      <c r="D46" s="3"/>
      <c r="E46" s="3"/>
      <c r="F46" s="3"/>
      <c r="G46" s="3"/>
      <c r="H46" s="3"/>
      <c r="I46" s="3"/>
      <c r="J46" s="25"/>
      <c r="K46" s="31"/>
      <c r="L46" s="3"/>
      <c r="M46" s="3"/>
      <c r="N46" s="3"/>
      <c r="O46" s="3"/>
      <c r="P46" s="3"/>
      <c r="Q46" s="3"/>
      <c r="R46" s="3"/>
      <c r="S46" s="3"/>
    </row>
    <row r="47" spans="1:19" x14ac:dyDescent="0.2">
      <c r="A47" s="2"/>
      <c r="B47" s="2"/>
      <c r="C47" s="3"/>
      <c r="D47" s="3"/>
      <c r="E47" s="3"/>
      <c r="F47" s="3"/>
      <c r="G47" s="3"/>
      <c r="H47" s="3"/>
      <c r="I47" s="3"/>
      <c r="J47" s="25"/>
      <c r="K47" s="31"/>
      <c r="L47" s="3"/>
      <c r="M47" s="3"/>
      <c r="N47" s="3"/>
      <c r="O47" s="3"/>
      <c r="P47" s="3"/>
      <c r="Q47" s="3"/>
      <c r="R47" s="3"/>
      <c r="S47" s="3"/>
    </row>
    <row r="48" spans="1:19" x14ac:dyDescent="0.2">
      <c r="A48" s="2"/>
      <c r="B48" s="2"/>
      <c r="C48" s="3"/>
      <c r="D48" s="3"/>
      <c r="E48" s="3"/>
      <c r="F48" s="3"/>
      <c r="G48" s="3"/>
      <c r="H48" s="3"/>
      <c r="I48" s="3"/>
      <c r="J48" s="25"/>
      <c r="K48" s="31"/>
    </row>
    <row r="49" spans="1:11" x14ac:dyDescent="0.2">
      <c r="A49" s="2"/>
      <c r="B49" s="2"/>
      <c r="C49" s="3"/>
      <c r="D49" s="3"/>
      <c r="E49" s="3"/>
      <c r="F49" s="3"/>
      <c r="G49" s="3"/>
      <c r="H49" s="3"/>
      <c r="I49" s="3"/>
      <c r="J49" s="25"/>
      <c r="K49" s="31"/>
    </row>
    <row r="50" spans="1:11" x14ac:dyDescent="0.2">
      <c r="A50" s="2"/>
      <c r="B50" s="2"/>
      <c r="C50" s="3"/>
      <c r="D50" s="3"/>
      <c r="E50" s="3"/>
      <c r="F50" s="3"/>
      <c r="G50" s="3"/>
      <c r="H50" s="3"/>
      <c r="I50" s="3"/>
      <c r="J50" s="25"/>
      <c r="K50" s="31"/>
    </row>
    <row r="51" spans="1:11" x14ac:dyDescent="0.2">
      <c r="A51" s="2"/>
      <c r="B51" s="2"/>
      <c r="C51" s="3"/>
      <c r="D51" s="3"/>
      <c r="E51" s="3"/>
      <c r="F51" s="3"/>
      <c r="G51" s="3"/>
      <c r="H51" s="3"/>
      <c r="I51" s="3"/>
      <c r="J51" s="25"/>
      <c r="K51" s="31"/>
    </row>
    <row r="52" spans="1:11" x14ac:dyDescent="0.2">
      <c r="A52" s="2"/>
      <c r="B52" s="2"/>
      <c r="C52" s="3"/>
      <c r="D52" s="3"/>
      <c r="E52" s="3"/>
      <c r="F52" s="3"/>
      <c r="G52" s="3"/>
      <c r="H52" s="3"/>
      <c r="I52" s="3"/>
      <c r="J52" s="25"/>
      <c r="K52" s="31"/>
    </row>
    <row r="53" spans="1:11" x14ac:dyDescent="0.2">
      <c r="A53" s="2"/>
      <c r="B53" s="2"/>
      <c r="C53" s="3"/>
      <c r="D53" s="3"/>
      <c r="E53" s="3"/>
      <c r="F53" s="3"/>
      <c r="G53" s="3"/>
      <c r="H53" s="3"/>
      <c r="I53" s="3"/>
      <c r="J53" s="25"/>
      <c r="K53" s="31"/>
    </row>
    <row r="54" spans="1:11" x14ac:dyDescent="0.2">
      <c r="A54" s="2"/>
      <c r="B54" s="2"/>
      <c r="C54" s="3"/>
      <c r="D54" s="3"/>
      <c r="E54" s="3"/>
      <c r="F54" s="3"/>
      <c r="G54" s="3"/>
      <c r="H54" s="3"/>
      <c r="I54" s="3"/>
      <c r="J54" s="25"/>
      <c r="K54" s="31"/>
    </row>
    <row r="55" spans="1:11" x14ac:dyDescent="0.2">
      <c r="A55" s="2"/>
      <c r="B55" s="2"/>
      <c r="C55" s="3"/>
      <c r="D55" s="3"/>
      <c r="E55" s="3"/>
      <c r="F55" s="3"/>
      <c r="G55" s="3"/>
      <c r="H55" s="3"/>
      <c r="I55" s="3"/>
      <c r="J55" s="25"/>
      <c r="K55" s="31"/>
    </row>
    <row r="56" spans="1:11" x14ac:dyDescent="0.2">
      <c r="A56" s="2"/>
      <c r="B56" s="2"/>
      <c r="C56" s="3"/>
      <c r="D56" s="3"/>
      <c r="E56" s="3"/>
      <c r="F56" s="3"/>
      <c r="G56" s="3"/>
      <c r="H56" s="3"/>
      <c r="I56" s="3"/>
      <c r="J56" s="25"/>
      <c r="K56" s="31"/>
    </row>
    <row r="57" spans="1:11" x14ac:dyDescent="0.2">
      <c r="A57" s="2"/>
      <c r="B57" s="2"/>
      <c r="C57" s="3"/>
      <c r="D57" s="3"/>
      <c r="E57" s="3"/>
      <c r="F57" s="3"/>
      <c r="G57" s="3"/>
      <c r="H57" s="3"/>
      <c r="I57" s="3"/>
      <c r="J57" s="25"/>
      <c r="K57" s="31"/>
    </row>
    <row r="58" spans="1:11" x14ac:dyDescent="0.2">
      <c r="A58" s="2"/>
      <c r="B58" s="2"/>
      <c r="C58" s="3"/>
      <c r="D58" s="3"/>
      <c r="E58" s="3"/>
      <c r="F58" s="3"/>
      <c r="G58" s="3"/>
      <c r="H58" s="3"/>
      <c r="I58" s="3"/>
      <c r="J58" s="25"/>
      <c r="K58" s="31"/>
    </row>
    <row r="59" spans="1:11" x14ac:dyDescent="0.2">
      <c r="A59" s="2"/>
      <c r="B59" s="2"/>
      <c r="C59" s="3"/>
      <c r="D59" s="3"/>
      <c r="E59" s="3"/>
      <c r="F59" s="3"/>
      <c r="G59" s="3"/>
      <c r="H59" s="3"/>
      <c r="I59" s="3"/>
      <c r="J59" s="25"/>
      <c r="K59" s="31"/>
    </row>
    <row r="60" spans="1:11" x14ac:dyDescent="0.2">
      <c r="A60" s="2"/>
      <c r="B60" s="2"/>
      <c r="C60" s="3"/>
      <c r="D60" s="3"/>
      <c r="E60" s="3"/>
      <c r="F60" s="3"/>
      <c r="G60" s="3"/>
      <c r="H60" s="3"/>
      <c r="I60" s="3"/>
      <c r="J60" s="25"/>
      <c r="K60" s="31"/>
    </row>
    <row r="61" spans="1:11" x14ac:dyDescent="0.2">
      <c r="A61" s="2"/>
      <c r="B61" s="2"/>
      <c r="C61" s="3"/>
      <c r="D61" s="3"/>
      <c r="E61" s="3"/>
      <c r="F61" s="3"/>
      <c r="G61" s="3"/>
      <c r="H61" s="3"/>
      <c r="I61" s="3"/>
      <c r="J61" s="25"/>
      <c r="K61" s="31"/>
    </row>
    <row r="62" spans="1:11" x14ac:dyDescent="0.2">
      <c r="A62" s="2"/>
      <c r="B62" s="2"/>
      <c r="C62" s="3"/>
      <c r="D62" s="3"/>
      <c r="E62" s="3"/>
      <c r="F62" s="3"/>
      <c r="G62" s="3"/>
      <c r="H62" s="3"/>
      <c r="I62" s="3"/>
      <c r="J62" s="25"/>
      <c r="K62" s="31"/>
    </row>
    <row r="63" spans="1:11" x14ac:dyDescent="0.2">
      <c r="A63" s="2"/>
      <c r="B63" s="2"/>
      <c r="C63" s="3"/>
      <c r="D63" s="3"/>
      <c r="E63" s="3"/>
      <c r="F63" s="3"/>
      <c r="G63" s="3"/>
      <c r="H63" s="3"/>
      <c r="I63" s="3"/>
      <c r="J63" s="25"/>
      <c r="K63" s="31"/>
    </row>
    <row r="64" spans="1:11" x14ac:dyDescent="0.2">
      <c r="A64" s="2"/>
      <c r="B64" s="2"/>
      <c r="C64" s="3"/>
      <c r="D64" s="3"/>
      <c r="E64" s="3"/>
      <c r="F64" s="3"/>
      <c r="G64" s="3"/>
      <c r="H64" s="3"/>
      <c r="I64" s="3"/>
      <c r="J64" s="25"/>
      <c r="K64" s="31"/>
    </row>
    <row r="65" spans="1:11" x14ac:dyDescent="0.2">
      <c r="A65" s="2"/>
      <c r="B65" s="2"/>
      <c r="C65" s="3"/>
      <c r="D65" s="3"/>
      <c r="E65" s="3"/>
      <c r="F65" s="3"/>
      <c r="G65" s="3"/>
      <c r="H65" s="3"/>
      <c r="I65" s="3"/>
      <c r="J65" s="25"/>
      <c r="K65" s="31"/>
    </row>
    <row r="66" spans="1:11" x14ac:dyDescent="0.2">
      <c r="A66" s="2"/>
      <c r="C66" s="3"/>
      <c r="D66" s="3"/>
      <c r="E66" s="3"/>
      <c r="F66" s="3"/>
      <c r="G66" s="3"/>
      <c r="H66" s="3"/>
      <c r="I66" s="3"/>
    </row>
    <row r="67" spans="1:11" x14ac:dyDescent="0.2">
      <c r="A67" s="2"/>
      <c r="B67" s="2"/>
      <c r="C67" s="3"/>
      <c r="D67" s="3"/>
      <c r="E67" s="3"/>
      <c r="F67" s="3"/>
      <c r="G67" s="3"/>
      <c r="H67" s="3"/>
      <c r="I67" s="3"/>
    </row>
    <row r="68" spans="1:11" x14ac:dyDescent="0.2">
      <c r="A68" s="2"/>
      <c r="B68" s="2"/>
      <c r="C68" s="3"/>
      <c r="D68" s="3"/>
      <c r="E68" s="3"/>
      <c r="F68" s="3"/>
      <c r="G68" s="3"/>
      <c r="H68" s="3"/>
      <c r="I68" s="3"/>
    </row>
    <row r="69" spans="1:11" x14ac:dyDescent="0.2">
      <c r="A69" s="2"/>
      <c r="B69" s="2"/>
      <c r="C69" s="3"/>
      <c r="D69" s="3"/>
      <c r="E69" s="3"/>
      <c r="F69" s="3"/>
      <c r="G69" s="3"/>
      <c r="H69" s="3"/>
      <c r="I69" s="3"/>
    </row>
    <row r="70" spans="1:11" x14ac:dyDescent="0.2">
      <c r="A70" s="2"/>
      <c r="B70" s="2"/>
      <c r="C70" s="3"/>
      <c r="D70" s="3"/>
      <c r="E70" s="3"/>
      <c r="F70" s="3"/>
      <c r="G70" s="3"/>
      <c r="H70" s="3"/>
      <c r="I70" s="3"/>
    </row>
    <row r="71" spans="1:11" x14ac:dyDescent="0.2">
      <c r="A71" s="2"/>
      <c r="B71" s="2"/>
      <c r="C71" s="3"/>
      <c r="D71" s="3"/>
      <c r="E71" s="3"/>
      <c r="F71" s="3"/>
      <c r="G71" s="3"/>
      <c r="H71" s="3"/>
      <c r="I71" s="3"/>
    </row>
    <row r="72" spans="1:11" x14ac:dyDescent="0.2">
      <c r="A72" s="2"/>
      <c r="B72" s="2"/>
      <c r="C72" s="3"/>
      <c r="D72" s="3"/>
      <c r="E72" s="3"/>
      <c r="F72" s="3"/>
      <c r="G72" s="3"/>
      <c r="H72" s="3"/>
      <c r="I72" s="3"/>
    </row>
    <row r="73" spans="1:11" x14ac:dyDescent="0.2">
      <c r="A73" s="2"/>
      <c r="B73" s="2"/>
      <c r="C73" s="3"/>
      <c r="D73" s="3"/>
      <c r="E73" s="3"/>
      <c r="F73" s="3"/>
      <c r="G73" s="3"/>
      <c r="H73" s="3"/>
      <c r="I73" s="3"/>
    </row>
    <row r="74" spans="1:11" x14ac:dyDescent="0.2">
      <c r="A74" s="2"/>
      <c r="B74" s="2"/>
      <c r="C74" s="3"/>
      <c r="D74" s="3"/>
      <c r="E74" s="3"/>
      <c r="F74" s="3"/>
      <c r="G74" s="3"/>
      <c r="H74" s="3"/>
      <c r="I74" s="3"/>
    </row>
    <row r="75" spans="1:11" x14ac:dyDescent="0.2">
      <c r="A75" s="2"/>
      <c r="B75" s="2"/>
      <c r="C75" s="3"/>
      <c r="D75" s="3"/>
      <c r="E75" s="3"/>
      <c r="F75" s="3"/>
      <c r="G75" s="3"/>
      <c r="H75" s="3"/>
      <c r="I75" s="3"/>
    </row>
    <row r="76" spans="1:11" x14ac:dyDescent="0.2">
      <c r="A76" s="2"/>
      <c r="B76" s="2"/>
      <c r="C76" s="3"/>
      <c r="D76" s="3"/>
      <c r="E76" s="3"/>
      <c r="F76" s="3"/>
      <c r="G76" s="3"/>
      <c r="H76" s="3"/>
      <c r="I76" s="3"/>
    </row>
    <row r="77" spans="1:11" x14ac:dyDescent="0.2">
      <c r="A77" s="2"/>
      <c r="B77" s="2"/>
      <c r="C77" s="3"/>
      <c r="D77" s="3"/>
      <c r="E77" s="3"/>
      <c r="F77" s="3"/>
      <c r="G77" s="3"/>
      <c r="H77" s="3"/>
      <c r="I77" s="3"/>
    </row>
    <row r="78" spans="1:11" x14ac:dyDescent="0.2">
      <c r="A78" s="2"/>
      <c r="B78" s="2"/>
      <c r="C78" s="3"/>
      <c r="D78" s="3"/>
      <c r="E78" s="3"/>
      <c r="F78" s="3"/>
      <c r="G78" s="3"/>
      <c r="H78" s="3"/>
      <c r="I78" s="3"/>
    </row>
    <row r="79" spans="1:11" x14ac:dyDescent="0.2">
      <c r="A79" s="2"/>
      <c r="B79" s="2"/>
      <c r="C79" s="3"/>
      <c r="D79" s="3"/>
      <c r="E79" s="3"/>
      <c r="F79" s="3"/>
      <c r="G79" s="3"/>
      <c r="H79" s="3"/>
      <c r="I79" s="3"/>
    </row>
    <row r="80" spans="1:11" x14ac:dyDescent="0.2">
      <c r="A80" s="2"/>
      <c r="B80" s="2"/>
      <c r="C80" s="3"/>
      <c r="D80" s="3"/>
      <c r="E80" s="3"/>
      <c r="F80" s="3"/>
      <c r="G80" s="3"/>
      <c r="H80" s="3"/>
      <c r="I80" s="3"/>
    </row>
    <row r="81" spans="1:9" x14ac:dyDescent="0.2">
      <c r="A81" s="2"/>
      <c r="B81" s="2"/>
      <c r="C81" s="3"/>
      <c r="D81" s="3"/>
      <c r="E81" s="3"/>
      <c r="F81" s="3"/>
      <c r="G81" s="3"/>
      <c r="H81" s="3"/>
      <c r="I81" s="3"/>
    </row>
    <row r="82" spans="1:9" x14ac:dyDescent="0.2">
      <c r="A82" s="2"/>
      <c r="B82" s="2"/>
      <c r="C82" s="3"/>
      <c r="D82" s="3"/>
      <c r="E82" s="3"/>
      <c r="F82" s="3"/>
      <c r="G82" s="3"/>
      <c r="H82" s="3"/>
      <c r="I82" s="3"/>
    </row>
    <row r="83" spans="1:9" x14ac:dyDescent="0.2">
      <c r="A83" s="2"/>
      <c r="B83" s="2"/>
      <c r="C83" s="3"/>
      <c r="D83" s="3"/>
      <c r="E83" s="3"/>
      <c r="F83" s="3"/>
      <c r="G83" s="3"/>
      <c r="H83" s="3"/>
      <c r="I83" s="3"/>
    </row>
    <row r="84" spans="1:9" x14ac:dyDescent="0.2">
      <c r="A84" s="2"/>
      <c r="B84" s="2"/>
      <c r="C84" s="3"/>
      <c r="D84" s="3"/>
      <c r="E84" s="3"/>
      <c r="F84" s="3"/>
      <c r="G84" s="3"/>
      <c r="H84" s="3"/>
      <c r="I84" s="3"/>
    </row>
    <row r="85" spans="1:9" x14ac:dyDescent="0.2">
      <c r="A85" s="2"/>
      <c r="B85" s="2"/>
      <c r="C85" s="3"/>
      <c r="D85" s="3"/>
      <c r="E85" s="3"/>
      <c r="F85" s="3"/>
      <c r="G85" s="3"/>
      <c r="H85" s="3"/>
      <c r="I85" s="3"/>
    </row>
    <row r="86" spans="1:9" x14ac:dyDescent="0.2">
      <c r="A86" s="2"/>
      <c r="B86" s="2"/>
      <c r="C86" s="3"/>
      <c r="D86" s="3"/>
      <c r="E86" s="3"/>
      <c r="F86" s="3"/>
      <c r="G86" s="3"/>
      <c r="H86" s="3"/>
      <c r="I86" s="3"/>
    </row>
    <row r="87" spans="1:9" x14ac:dyDescent="0.2">
      <c r="A87" s="2"/>
      <c r="B87" s="2"/>
      <c r="C87" s="3"/>
      <c r="D87" s="3"/>
      <c r="E87" s="3"/>
      <c r="F87" s="3"/>
      <c r="G87" s="3"/>
      <c r="H87" s="3"/>
      <c r="I87" s="3"/>
    </row>
    <row r="88" spans="1:9" x14ac:dyDescent="0.2">
      <c r="A88" s="2"/>
      <c r="B88" s="2"/>
      <c r="C88" s="3"/>
      <c r="D88" s="3"/>
      <c r="E88" s="3"/>
      <c r="F88" s="3"/>
      <c r="G88" s="3"/>
      <c r="H88" s="3"/>
      <c r="I88" s="3"/>
    </row>
    <row r="89" spans="1:9" x14ac:dyDescent="0.2">
      <c r="A89" s="2"/>
      <c r="B89" s="2"/>
      <c r="C89" s="3"/>
      <c r="D89" s="3"/>
      <c r="E89" s="3"/>
      <c r="F89" s="3"/>
      <c r="G89" s="3"/>
      <c r="H89" s="3"/>
      <c r="I89" s="3"/>
    </row>
    <row r="90" spans="1:9" x14ac:dyDescent="0.2">
      <c r="A90" s="12"/>
      <c r="B90" s="2"/>
      <c r="C90" s="3"/>
      <c r="D90" s="3"/>
      <c r="E90" s="3"/>
      <c r="F90" s="3"/>
      <c r="G90" s="3"/>
      <c r="H90" s="3"/>
      <c r="I90" s="3"/>
    </row>
    <row r="91" spans="1:9" x14ac:dyDescent="0.2">
      <c r="A91" s="2"/>
      <c r="B91" s="12"/>
      <c r="C91" s="13"/>
      <c r="D91" s="13"/>
      <c r="E91" s="13"/>
      <c r="F91" s="13"/>
      <c r="G91" s="13"/>
      <c r="H91" s="13"/>
      <c r="I91" s="3"/>
    </row>
    <row r="92" spans="1:9" x14ac:dyDescent="0.2">
      <c r="A92" s="2"/>
      <c r="B92" s="2"/>
      <c r="C92" s="3"/>
      <c r="D92" s="3"/>
      <c r="E92" s="3"/>
      <c r="F92" s="3"/>
      <c r="G92" s="3"/>
      <c r="H92" s="3"/>
      <c r="I92" s="3"/>
    </row>
    <row r="93" spans="1:9" x14ac:dyDescent="0.2">
      <c r="A93" s="2"/>
      <c r="B93" s="2"/>
      <c r="C93" s="3"/>
      <c r="D93" s="3"/>
      <c r="E93" s="3"/>
      <c r="F93" s="3"/>
      <c r="G93" s="3"/>
      <c r="H93" s="3"/>
      <c r="I93" s="3"/>
    </row>
    <row r="94" spans="1:9" x14ac:dyDescent="0.2">
      <c r="A94" s="2"/>
      <c r="B94" s="2"/>
      <c r="C94" s="3"/>
      <c r="D94" s="3"/>
      <c r="E94" s="3"/>
      <c r="F94" s="3"/>
      <c r="G94" s="3"/>
      <c r="H94" s="3"/>
      <c r="I94" s="3"/>
    </row>
    <row r="95" spans="1:9" x14ac:dyDescent="0.2">
      <c r="A95" s="2"/>
      <c r="B95" s="2"/>
      <c r="C95" s="3"/>
      <c r="D95" s="3"/>
      <c r="E95" s="3"/>
      <c r="F95" s="3"/>
      <c r="G95" s="3"/>
      <c r="H95" s="3"/>
      <c r="I95" s="3"/>
    </row>
    <row r="96" spans="1:9" x14ac:dyDescent="0.2">
      <c r="A96" s="2"/>
      <c r="B96" s="2"/>
      <c r="C96" s="3"/>
      <c r="D96" s="3"/>
      <c r="E96" s="3"/>
      <c r="F96" s="3"/>
      <c r="G96" s="3"/>
      <c r="H96" s="3"/>
      <c r="I96" s="3"/>
    </row>
    <row r="97" spans="1:9" x14ac:dyDescent="0.2">
      <c r="A97" s="2"/>
      <c r="B97" s="2"/>
      <c r="C97" s="3"/>
      <c r="D97" s="3"/>
      <c r="E97" s="3"/>
      <c r="F97" s="3"/>
      <c r="G97" s="3"/>
      <c r="H97" s="3"/>
      <c r="I97" s="3"/>
    </row>
    <row r="98" spans="1:9" x14ac:dyDescent="0.2">
      <c r="A98" s="2"/>
      <c r="B98" s="2"/>
      <c r="C98" s="3"/>
      <c r="D98" s="3"/>
      <c r="E98" s="3"/>
      <c r="F98" s="3"/>
      <c r="G98" s="3"/>
      <c r="H98" s="3"/>
      <c r="I98" s="3"/>
    </row>
    <row r="99" spans="1:9" x14ac:dyDescent="0.2">
      <c r="A99" s="2"/>
      <c r="B99" s="2"/>
      <c r="C99" s="3"/>
      <c r="D99" s="3"/>
      <c r="E99" s="3"/>
      <c r="F99" s="3"/>
      <c r="G99" s="3"/>
      <c r="H99" s="3"/>
      <c r="I99" s="3"/>
    </row>
    <row r="100" spans="1:9" x14ac:dyDescent="0.2">
      <c r="A100" s="2"/>
      <c r="B100" s="2"/>
      <c r="C100" s="3"/>
      <c r="D100" s="3"/>
      <c r="E100" s="3"/>
      <c r="F100" s="3"/>
      <c r="G100" s="3"/>
      <c r="H100" s="3"/>
      <c r="I100" s="3"/>
    </row>
    <row r="101" spans="1:9" x14ac:dyDescent="0.2">
      <c r="A101" s="2"/>
      <c r="B101" s="2"/>
      <c r="C101" s="3"/>
      <c r="D101" s="3"/>
      <c r="E101" s="3"/>
      <c r="F101" s="3"/>
      <c r="G101" s="3"/>
      <c r="H101" s="3"/>
      <c r="I101" s="3"/>
    </row>
    <row r="102" spans="1:9" x14ac:dyDescent="0.2">
      <c r="A102" s="2"/>
      <c r="B102" s="2"/>
      <c r="C102" s="3"/>
      <c r="D102" s="3"/>
      <c r="E102" s="3"/>
      <c r="F102" s="3"/>
      <c r="G102" s="3"/>
      <c r="H102" s="3"/>
      <c r="I102" s="3"/>
    </row>
    <row r="103" spans="1:9" x14ac:dyDescent="0.2">
      <c r="A103" s="2"/>
      <c r="B103" s="2"/>
      <c r="C103" s="3"/>
      <c r="D103" s="3"/>
      <c r="E103" s="3"/>
      <c r="F103" s="3"/>
      <c r="G103" s="3"/>
      <c r="H103" s="3"/>
      <c r="I103" s="3"/>
    </row>
    <row r="104" spans="1:9" x14ac:dyDescent="0.2">
      <c r="A104" s="2"/>
      <c r="B104" s="2"/>
      <c r="C104" s="3"/>
      <c r="D104" s="3"/>
      <c r="E104" s="3"/>
      <c r="F104" s="3"/>
      <c r="G104" s="3"/>
      <c r="H104" s="3"/>
      <c r="I104" s="3"/>
    </row>
    <row r="105" spans="1:9" x14ac:dyDescent="0.2">
      <c r="A105" s="2"/>
      <c r="B105" s="2"/>
      <c r="C105" s="3"/>
      <c r="D105" s="3"/>
      <c r="E105" s="3"/>
      <c r="F105" s="3"/>
      <c r="G105" s="3"/>
      <c r="H105" s="3"/>
      <c r="I105" s="3"/>
    </row>
    <row r="106" spans="1:9" x14ac:dyDescent="0.2">
      <c r="A106" s="2"/>
      <c r="B106" s="2"/>
      <c r="C106" s="3"/>
      <c r="D106" s="3"/>
      <c r="E106" s="3"/>
      <c r="F106" s="3"/>
      <c r="G106" s="3"/>
      <c r="H106" s="3"/>
      <c r="I106" s="3"/>
    </row>
    <row r="107" spans="1:9" x14ac:dyDescent="0.2">
      <c r="A107" s="2"/>
      <c r="B107" s="2"/>
      <c r="C107" s="3"/>
      <c r="D107" s="3"/>
      <c r="E107" s="3"/>
      <c r="F107" s="3"/>
      <c r="G107" s="3"/>
      <c r="H107" s="3"/>
      <c r="I107" s="3"/>
    </row>
    <row r="108" spans="1:9" x14ac:dyDescent="0.2">
      <c r="A108" s="2"/>
      <c r="B108" s="2"/>
      <c r="C108" s="3"/>
      <c r="D108" s="3"/>
      <c r="E108" s="3"/>
      <c r="F108" s="3"/>
      <c r="G108" s="3"/>
      <c r="H108" s="3"/>
      <c r="I108" s="3"/>
    </row>
    <row r="109" spans="1:9" x14ac:dyDescent="0.2">
      <c r="A109" s="2"/>
      <c r="B109" s="2"/>
      <c r="C109" s="3"/>
      <c r="D109" s="3"/>
      <c r="E109" s="3"/>
      <c r="F109" s="3"/>
      <c r="G109" s="3"/>
      <c r="H109" s="3"/>
      <c r="I109" s="3"/>
    </row>
    <row r="110" spans="1:9" x14ac:dyDescent="0.2">
      <c r="A110" s="2"/>
      <c r="B110" s="2"/>
      <c r="C110" s="3"/>
      <c r="D110" s="3"/>
      <c r="E110" s="3"/>
      <c r="F110" s="3"/>
      <c r="G110" s="3"/>
      <c r="H110" s="3"/>
      <c r="I110" s="3"/>
    </row>
    <row r="111" spans="1:9" x14ac:dyDescent="0.2">
      <c r="A111" s="2"/>
      <c r="B111" s="2"/>
      <c r="C111" s="3"/>
      <c r="D111" s="3"/>
      <c r="E111" s="3"/>
      <c r="F111" s="3"/>
      <c r="G111" s="3"/>
      <c r="H111" s="3"/>
      <c r="I111" s="3"/>
    </row>
    <row r="112" spans="1:9" x14ac:dyDescent="0.2">
      <c r="A112" s="2"/>
      <c r="B112" s="2"/>
      <c r="C112" s="3"/>
      <c r="D112" s="3"/>
      <c r="E112" s="3"/>
      <c r="F112" s="3"/>
      <c r="G112" s="3"/>
      <c r="H112" s="3"/>
      <c r="I112" s="3"/>
    </row>
    <row r="113" spans="1:9" x14ac:dyDescent="0.2">
      <c r="A113" s="2"/>
      <c r="B113" s="2"/>
      <c r="C113" s="3"/>
      <c r="D113" s="3"/>
      <c r="E113" s="3"/>
      <c r="F113" s="3"/>
      <c r="G113" s="3"/>
      <c r="H113" s="3"/>
      <c r="I113" s="3"/>
    </row>
    <row r="114" spans="1:9" x14ac:dyDescent="0.2">
      <c r="A114" s="2"/>
      <c r="B114" s="2"/>
      <c r="C114" s="3"/>
      <c r="D114" s="3"/>
      <c r="E114" s="3"/>
      <c r="F114" s="3"/>
      <c r="G114" s="3"/>
      <c r="H114" s="3"/>
      <c r="I114" s="3"/>
    </row>
    <row r="115" spans="1:9" x14ac:dyDescent="0.2">
      <c r="A115" s="2"/>
      <c r="B115" s="2"/>
      <c r="C115" s="3"/>
      <c r="D115" s="3"/>
      <c r="E115" s="3"/>
      <c r="F115" s="3"/>
      <c r="G115" s="3"/>
      <c r="H115" s="3"/>
      <c r="I115" s="3"/>
    </row>
    <row r="116" spans="1:9" x14ac:dyDescent="0.2">
      <c r="A116" s="2"/>
      <c r="B116" s="2"/>
      <c r="C116" s="3"/>
      <c r="D116" s="3"/>
      <c r="E116" s="3"/>
      <c r="F116" s="3"/>
      <c r="G116" s="3"/>
      <c r="H116" s="3"/>
      <c r="I116" s="3"/>
    </row>
    <row r="117" spans="1:9" x14ac:dyDescent="0.2">
      <c r="A117" s="2"/>
      <c r="B117" s="2"/>
      <c r="C117" s="3"/>
      <c r="D117" s="3"/>
      <c r="E117" s="3"/>
      <c r="F117" s="3"/>
      <c r="G117" s="3"/>
      <c r="H117" s="3"/>
      <c r="I117" s="3"/>
    </row>
    <row r="118" spans="1:9" x14ac:dyDescent="0.2">
      <c r="A118" s="2"/>
      <c r="B118" s="2"/>
      <c r="C118" s="3"/>
      <c r="D118" s="3"/>
      <c r="E118" s="3"/>
      <c r="F118" s="3"/>
      <c r="G118" s="3"/>
      <c r="H118" s="3"/>
      <c r="I118" s="3"/>
    </row>
    <row r="119" spans="1:9" x14ac:dyDescent="0.2">
      <c r="A119" s="2"/>
      <c r="B119" s="2"/>
      <c r="C119" s="3"/>
      <c r="D119" s="3"/>
      <c r="E119" s="3"/>
      <c r="F119" s="3"/>
      <c r="G119" s="3"/>
      <c r="H119" s="3"/>
      <c r="I119" s="3"/>
    </row>
    <row r="120" spans="1:9" x14ac:dyDescent="0.2">
      <c r="A120" s="2"/>
      <c r="B120" s="2"/>
      <c r="C120" s="3"/>
      <c r="D120" s="3"/>
      <c r="E120" s="3"/>
      <c r="F120" s="3"/>
      <c r="G120" s="3"/>
      <c r="H120" s="3"/>
      <c r="I120" s="3"/>
    </row>
    <row r="121" spans="1:9" x14ac:dyDescent="0.2">
      <c r="A121" s="2"/>
      <c r="B121" s="2"/>
      <c r="C121" s="3"/>
      <c r="D121" s="3"/>
      <c r="E121" s="3"/>
      <c r="F121" s="3"/>
      <c r="G121" s="3"/>
      <c r="H121" s="3"/>
      <c r="I121" s="3"/>
    </row>
    <row r="122" spans="1:9" x14ac:dyDescent="0.2">
      <c r="A122" s="2"/>
      <c r="B122" s="2"/>
      <c r="C122" s="3"/>
      <c r="D122" s="3"/>
      <c r="E122" s="3"/>
      <c r="F122" s="3"/>
      <c r="G122" s="3"/>
      <c r="H122" s="3"/>
      <c r="I122" s="3"/>
    </row>
    <row r="123" spans="1:9" x14ac:dyDescent="0.2">
      <c r="A123" s="2"/>
      <c r="B123" s="2"/>
      <c r="C123" s="3"/>
      <c r="D123" s="3"/>
      <c r="E123" s="3"/>
      <c r="F123" s="3"/>
      <c r="G123" s="3"/>
      <c r="H123" s="3"/>
      <c r="I123" s="3"/>
    </row>
    <row r="124" spans="1:9" x14ac:dyDescent="0.2">
      <c r="A124" s="2"/>
      <c r="B124" s="2"/>
      <c r="C124" s="3"/>
      <c r="D124" s="3"/>
      <c r="E124" s="3"/>
      <c r="F124" s="3"/>
      <c r="G124" s="3"/>
      <c r="H124" s="3"/>
      <c r="I124" s="3"/>
    </row>
    <row r="125" spans="1:9" x14ac:dyDescent="0.2">
      <c r="A125" s="2"/>
      <c r="B125" s="2"/>
      <c r="C125" s="3"/>
      <c r="D125" s="3"/>
      <c r="E125" s="3"/>
      <c r="F125" s="3"/>
      <c r="G125" s="3"/>
      <c r="H125" s="3"/>
      <c r="I125" s="3"/>
    </row>
    <row r="126" spans="1:9" x14ac:dyDescent="0.2">
      <c r="A126" s="2"/>
      <c r="B126" s="2"/>
      <c r="C126" s="3"/>
      <c r="D126" s="3"/>
      <c r="E126" s="3"/>
      <c r="F126" s="3"/>
      <c r="G126" s="3"/>
      <c r="H126" s="3"/>
      <c r="I126" s="3"/>
    </row>
    <row r="127" spans="1:9" x14ac:dyDescent="0.2">
      <c r="A127" s="2"/>
      <c r="B127" s="2"/>
      <c r="C127" s="3"/>
      <c r="D127" s="3"/>
      <c r="E127" s="3"/>
      <c r="F127" s="3"/>
      <c r="G127" s="3"/>
      <c r="H127" s="3"/>
      <c r="I127" s="3"/>
    </row>
    <row r="128" spans="1:9" x14ac:dyDescent="0.2">
      <c r="A128" s="2"/>
      <c r="B128" s="2"/>
      <c r="C128" s="3"/>
      <c r="D128" s="3"/>
      <c r="E128" s="3"/>
      <c r="F128" s="3"/>
      <c r="G128" s="3"/>
      <c r="H128" s="3"/>
      <c r="I128" s="3"/>
    </row>
    <row r="129" spans="1:9" x14ac:dyDescent="0.2">
      <c r="A129" s="2"/>
      <c r="B129" s="2"/>
      <c r="C129" s="3"/>
      <c r="D129" s="3"/>
      <c r="E129" s="3"/>
      <c r="F129" s="3"/>
      <c r="G129" s="3"/>
      <c r="H129" s="3"/>
      <c r="I129" s="3"/>
    </row>
    <row r="130" spans="1:9" x14ac:dyDescent="0.2">
      <c r="A130" s="2"/>
      <c r="B130" s="2"/>
      <c r="C130" s="3"/>
      <c r="D130" s="3"/>
      <c r="E130" s="3"/>
      <c r="F130" s="3"/>
      <c r="G130" s="3"/>
      <c r="H130" s="3"/>
      <c r="I130" s="3"/>
    </row>
    <row r="131" spans="1:9" x14ac:dyDescent="0.2">
      <c r="A131" s="2"/>
      <c r="B131" s="2"/>
      <c r="C131" s="3"/>
      <c r="D131" s="3"/>
      <c r="E131" s="3"/>
      <c r="F131" s="3"/>
      <c r="G131" s="3"/>
      <c r="H131" s="3"/>
      <c r="I131" s="3"/>
    </row>
    <row r="132" spans="1:9" x14ac:dyDescent="0.2">
      <c r="A132" s="2"/>
      <c r="B132" s="2"/>
      <c r="C132" s="3"/>
      <c r="D132" s="3"/>
      <c r="E132" s="3"/>
      <c r="F132" s="3"/>
      <c r="G132" s="3"/>
      <c r="H132" s="3"/>
      <c r="I132" s="3"/>
    </row>
    <row r="133" spans="1:9" x14ac:dyDescent="0.2">
      <c r="A133" s="2"/>
      <c r="B133" s="2"/>
      <c r="C133" s="3"/>
      <c r="D133" s="3"/>
      <c r="E133" s="3"/>
      <c r="F133" s="3"/>
      <c r="G133" s="3"/>
      <c r="H133" s="3"/>
      <c r="I133" s="3"/>
    </row>
    <row r="134" spans="1:9" x14ac:dyDescent="0.2">
      <c r="A134" s="2"/>
      <c r="B134" s="2"/>
      <c r="C134" s="3"/>
      <c r="D134" s="3"/>
      <c r="E134" s="3"/>
      <c r="F134" s="3"/>
      <c r="G134" s="3"/>
      <c r="H134" s="3"/>
      <c r="I134" s="3"/>
    </row>
    <row r="135" spans="1:9" x14ac:dyDescent="0.2">
      <c r="A135" s="2"/>
      <c r="B135" s="2"/>
      <c r="C135" s="3"/>
      <c r="D135" s="3"/>
      <c r="E135" s="3"/>
      <c r="F135" s="3"/>
      <c r="G135" s="3"/>
      <c r="H135" s="3"/>
      <c r="I135" s="3"/>
    </row>
    <row r="136" spans="1:9" x14ac:dyDescent="0.2">
      <c r="A136" s="2"/>
      <c r="B136" s="2"/>
      <c r="C136" s="3"/>
      <c r="D136" s="3"/>
      <c r="E136" s="3"/>
      <c r="F136" s="3"/>
      <c r="G136" s="3"/>
      <c r="H136" s="3"/>
      <c r="I136" s="3"/>
    </row>
    <row r="137" spans="1:9" x14ac:dyDescent="0.2">
      <c r="A137" s="2"/>
      <c r="B137" s="2"/>
      <c r="C137" s="3"/>
      <c r="D137" s="3"/>
      <c r="E137" s="3"/>
      <c r="F137" s="3"/>
      <c r="G137" s="3"/>
      <c r="H137" s="3"/>
      <c r="I137" s="3"/>
    </row>
    <row r="138" spans="1:9" x14ac:dyDescent="0.2">
      <c r="A138" s="2"/>
      <c r="B138" s="2"/>
      <c r="C138" s="3"/>
      <c r="D138" s="3"/>
      <c r="E138" s="3"/>
      <c r="F138" s="3"/>
      <c r="G138" s="3"/>
      <c r="H138" s="3"/>
      <c r="I138" s="3"/>
    </row>
    <row r="139" spans="1:9" x14ac:dyDescent="0.2">
      <c r="A139" s="2"/>
      <c r="B139" s="2"/>
      <c r="C139" s="3"/>
      <c r="D139" s="3"/>
      <c r="E139" s="3"/>
      <c r="F139" s="3"/>
      <c r="G139" s="3"/>
      <c r="H139" s="3"/>
      <c r="I139" s="3"/>
    </row>
    <row r="140" spans="1:9" x14ac:dyDescent="0.2">
      <c r="A140" s="2"/>
      <c r="B140" s="2"/>
      <c r="C140" s="3"/>
      <c r="D140" s="3"/>
      <c r="E140" s="3"/>
      <c r="F140" s="3"/>
      <c r="G140" s="3"/>
      <c r="H140" s="3"/>
      <c r="I140" s="3"/>
    </row>
    <row r="141" spans="1:9" x14ac:dyDescent="0.2">
      <c r="A141" s="2"/>
      <c r="B141" s="2"/>
      <c r="C141" s="3"/>
      <c r="D141" s="3"/>
      <c r="E141" s="3"/>
      <c r="F141" s="3"/>
      <c r="G141" s="3"/>
      <c r="H141" s="3"/>
      <c r="I141" s="3"/>
    </row>
    <row r="142" spans="1:9" x14ac:dyDescent="0.2">
      <c r="A142" s="2"/>
      <c r="B142" s="2"/>
      <c r="C142" s="3"/>
      <c r="D142" s="3"/>
      <c r="E142" s="3"/>
      <c r="F142" s="3"/>
      <c r="G142" s="3"/>
      <c r="H142" s="3"/>
      <c r="I142" s="3"/>
    </row>
    <row r="143" spans="1:9" x14ac:dyDescent="0.2">
      <c r="A143" s="2"/>
      <c r="B143" s="2"/>
      <c r="C143" s="3"/>
      <c r="D143" s="3"/>
      <c r="E143" s="3"/>
      <c r="F143" s="3"/>
      <c r="G143" s="3"/>
      <c r="H143" s="3"/>
      <c r="I143" s="3"/>
    </row>
    <row r="144" spans="1:9" x14ac:dyDescent="0.2">
      <c r="A144" s="2"/>
      <c r="B144" s="2"/>
      <c r="C144" s="3"/>
      <c r="D144" s="3"/>
      <c r="E144" s="3"/>
      <c r="F144" s="3"/>
      <c r="G144" s="3"/>
      <c r="H144" s="3"/>
      <c r="I144" s="3"/>
    </row>
    <row r="145" spans="1:9" x14ac:dyDescent="0.2">
      <c r="A145" s="2"/>
      <c r="B145" s="2"/>
      <c r="C145" s="3"/>
      <c r="D145" s="3"/>
      <c r="E145" s="3"/>
      <c r="F145" s="3"/>
      <c r="G145" s="3"/>
      <c r="H145" s="3"/>
      <c r="I145" s="3"/>
    </row>
    <row r="146" spans="1:9" x14ac:dyDescent="0.2">
      <c r="A146" s="2"/>
      <c r="B146" s="2"/>
      <c r="C146" s="3"/>
      <c r="D146" s="3"/>
      <c r="E146" s="3"/>
      <c r="F146" s="3"/>
      <c r="G146" s="3"/>
      <c r="H146" s="3"/>
      <c r="I146" s="3"/>
    </row>
    <row r="147" spans="1:9" x14ac:dyDescent="0.2">
      <c r="A147" s="2"/>
      <c r="B147" s="2"/>
      <c r="C147" s="3"/>
      <c r="D147" s="3"/>
      <c r="E147" s="3"/>
      <c r="F147" s="3"/>
      <c r="G147" s="3"/>
      <c r="H147" s="3"/>
      <c r="I147" s="3"/>
    </row>
    <row r="148" spans="1:9" x14ac:dyDescent="0.2">
      <c r="A148" s="2"/>
      <c r="B148" s="2"/>
      <c r="C148" s="3"/>
      <c r="D148" s="3"/>
      <c r="E148" s="3"/>
      <c r="F148" s="3"/>
      <c r="G148" s="3"/>
      <c r="H148" s="3"/>
      <c r="I148" s="3"/>
    </row>
    <row r="149" spans="1:9" x14ac:dyDescent="0.2">
      <c r="A149" s="2"/>
      <c r="B149" s="2"/>
      <c r="C149" s="3"/>
      <c r="D149" s="3"/>
      <c r="E149" s="3"/>
      <c r="F149" s="3"/>
      <c r="G149" s="3"/>
      <c r="H149" s="3"/>
      <c r="I149" s="3"/>
    </row>
    <row r="150" spans="1:9" x14ac:dyDescent="0.2">
      <c r="A150" s="2"/>
      <c r="B150" s="2"/>
      <c r="C150" s="3"/>
      <c r="D150" s="3"/>
      <c r="E150" s="3"/>
      <c r="F150" s="3"/>
      <c r="G150" s="3"/>
      <c r="H150" s="3"/>
      <c r="I150" s="3"/>
    </row>
    <row r="151" spans="1:9" x14ac:dyDescent="0.2">
      <c r="A151" s="2"/>
      <c r="B151" s="2"/>
      <c r="C151" s="3"/>
      <c r="D151" s="3"/>
      <c r="E151" s="3"/>
      <c r="F151" s="3"/>
      <c r="G151" s="3"/>
      <c r="H151" s="3"/>
      <c r="I151" s="3"/>
    </row>
    <row r="152" spans="1:9" x14ac:dyDescent="0.2">
      <c r="A152" s="2"/>
      <c r="B152" s="2"/>
      <c r="C152" s="3"/>
      <c r="D152" s="3"/>
      <c r="E152" s="3"/>
      <c r="F152" s="3"/>
      <c r="G152" s="3"/>
      <c r="H152" s="3"/>
      <c r="I152" s="3"/>
    </row>
    <row r="153" spans="1:9" x14ac:dyDescent="0.2">
      <c r="A153" s="2"/>
      <c r="B153" s="2"/>
      <c r="C153" s="3"/>
      <c r="D153" s="3"/>
      <c r="E153" s="3"/>
      <c r="F153" s="3"/>
      <c r="G153" s="3"/>
      <c r="H153" s="3"/>
      <c r="I153" s="3"/>
    </row>
    <row r="154" spans="1:9" x14ac:dyDescent="0.2">
      <c r="A154" s="2"/>
      <c r="B154" s="2"/>
      <c r="C154" s="3"/>
      <c r="D154" s="3"/>
      <c r="E154" s="3"/>
      <c r="F154" s="3"/>
      <c r="G154" s="3"/>
      <c r="H154" s="3"/>
      <c r="I154" s="3"/>
    </row>
    <row r="155" spans="1:9" x14ac:dyDescent="0.2">
      <c r="A155" s="2"/>
      <c r="B155" s="2"/>
      <c r="C155" s="3"/>
      <c r="D155" s="3"/>
      <c r="E155" s="3"/>
      <c r="F155" s="3"/>
      <c r="G155" s="3"/>
      <c r="H155" s="3"/>
      <c r="I155" s="3"/>
    </row>
    <row r="156" spans="1:9" x14ac:dyDescent="0.2">
      <c r="A156" s="2"/>
      <c r="B156" s="2"/>
      <c r="C156" s="3"/>
      <c r="D156" s="3"/>
      <c r="E156" s="3"/>
      <c r="F156" s="3"/>
      <c r="G156" s="3"/>
      <c r="H156" s="3"/>
      <c r="I156" s="3"/>
    </row>
    <row r="157" spans="1:9" x14ac:dyDescent="0.2">
      <c r="A157" s="2"/>
      <c r="B157" s="2"/>
      <c r="C157" s="3"/>
      <c r="D157" s="3"/>
      <c r="E157" s="3"/>
      <c r="F157" s="3"/>
      <c r="G157" s="3"/>
      <c r="H157" s="3"/>
      <c r="I157" s="3"/>
    </row>
    <row r="158" spans="1:9" x14ac:dyDescent="0.2">
      <c r="A158" s="2"/>
      <c r="B158" s="2"/>
      <c r="C158" s="3"/>
      <c r="D158" s="3"/>
      <c r="E158" s="3"/>
      <c r="F158" s="3"/>
      <c r="G158" s="3"/>
      <c r="H158" s="3"/>
      <c r="I158" s="3"/>
    </row>
    <row r="159" spans="1:9" x14ac:dyDescent="0.2">
      <c r="A159" s="2"/>
      <c r="B159" s="2"/>
      <c r="C159" s="3"/>
      <c r="D159" s="3"/>
      <c r="E159" s="3"/>
      <c r="F159" s="3"/>
      <c r="G159" s="3"/>
      <c r="H159" s="3"/>
      <c r="I159" s="3"/>
    </row>
    <row r="160" spans="1:9" x14ac:dyDescent="0.2">
      <c r="A160" s="2"/>
      <c r="B160" s="2"/>
      <c r="C160" s="3"/>
      <c r="D160" s="3"/>
      <c r="E160" s="3"/>
      <c r="F160" s="3"/>
      <c r="G160" s="3"/>
      <c r="H160" s="3"/>
      <c r="I160" s="3"/>
    </row>
    <row r="161" spans="1:9" x14ac:dyDescent="0.2">
      <c r="A161" s="2"/>
      <c r="B161" s="2"/>
      <c r="C161" s="3"/>
      <c r="D161" s="3"/>
      <c r="E161" s="3"/>
      <c r="F161" s="3"/>
      <c r="G161" s="3"/>
      <c r="H161" s="3"/>
      <c r="I161" s="3"/>
    </row>
    <row r="162" spans="1:9" x14ac:dyDescent="0.2">
      <c r="A162" s="2"/>
      <c r="B162" s="2"/>
      <c r="C162" s="3"/>
      <c r="D162" s="3"/>
      <c r="E162" s="3"/>
      <c r="F162" s="3"/>
      <c r="G162" s="3"/>
      <c r="H162" s="3"/>
      <c r="I162" s="3"/>
    </row>
    <row r="163" spans="1:9" x14ac:dyDescent="0.2">
      <c r="A163" s="2"/>
      <c r="B163" s="2"/>
      <c r="C163" s="3"/>
      <c r="D163" s="3"/>
      <c r="E163" s="3"/>
      <c r="F163" s="3"/>
      <c r="G163" s="3"/>
      <c r="H163" s="3"/>
      <c r="I163" s="3"/>
    </row>
    <row r="164" spans="1:9" x14ac:dyDescent="0.2">
      <c r="A164" s="2"/>
      <c r="B164" s="2"/>
      <c r="C164" s="3"/>
      <c r="D164" s="3"/>
      <c r="E164" s="3"/>
      <c r="F164" s="3"/>
      <c r="G164" s="3"/>
      <c r="H164" s="3"/>
      <c r="I164" s="3"/>
    </row>
    <row r="165" spans="1:9" x14ac:dyDescent="0.2">
      <c r="A165" s="2"/>
      <c r="B165" s="2"/>
      <c r="C165" s="3"/>
      <c r="D165" s="3"/>
      <c r="E165" s="3"/>
      <c r="F165" s="3"/>
      <c r="G165" s="3"/>
      <c r="H165" s="3"/>
      <c r="I165" s="3"/>
    </row>
    <row r="166" spans="1:9" x14ac:dyDescent="0.2">
      <c r="A166" s="2"/>
      <c r="B166" s="2"/>
      <c r="C166" s="3"/>
      <c r="D166" s="3"/>
      <c r="E166" s="3"/>
      <c r="F166" s="3"/>
      <c r="G166" s="3"/>
      <c r="H166" s="3"/>
      <c r="I166" s="3"/>
    </row>
    <row r="167" spans="1:9" x14ac:dyDescent="0.2">
      <c r="A167" s="2"/>
      <c r="B167" s="2"/>
      <c r="C167" s="3"/>
      <c r="D167" s="3"/>
      <c r="E167" s="3"/>
      <c r="F167" s="3"/>
      <c r="G167" s="3"/>
      <c r="H167" s="3"/>
      <c r="I167" s="3"/>
    </row>
    <row r="168" spans="1:9" x14ac:dyDescent="0.2">
      <c r="A168" s="2"/>
      <c r="B168" s="2"/>
      <c r="C168" s="3"/>
      <c r="D168" s="3"/>
      <c r="E168" s="3"/>
      <c r="F168" s="3"/>
      <c r="G168" s="3"/>
      <c r="H168" s="3"/>
      <c r="I168" s="3"/>
    </row>
    <row r="169" spans="1:9" x14ac:dyDescent="0.2">
      <c r="A169" s="2"/>
      <c r="B169" s="2"/>
      <c r="C169" s="3"/>
      <c r="D169" s="3"/>
      <c r="E169" s="3"/>
      <c r="F169" s="3"/>
      <c r="G169" s="3"/>
      <c r="H169" s="3"/>
      <c r="I169" s="3"/>
    </row>
    <row r="170" spans="1:9" x14ac:dyDescent="0.2">
      <c r="A170" s="2"/>
      <c r="B170" s="2"/>
      <c r="C170" s="3"/>
      <c r="D170" s="3"/>
      <c r="E170" s="3"/>
      <c r="F170" s="3"/>
      <c r="G170" s="3"/>
      <c r="H170" s="3"/>
      <c r="I170" s="3"/>
    </row>
    <row r="171" spans="1:9" x14ac:dyDescent="0.2">
      <c r="A171" s="2"/>
      <c r="B171" s="2"/>
      <c r="C171" s="3"/>
      <c r="D171" s="3"/>
      <c r="E171" s="3"/>
      <c r="F171" s="3"/>
      <c r="G171" s="3"/>
      <c r="H171" s="3"/>
      <c r="I171" s="3"/>
    </row>
    <row r="172" spans="1:9" x14ac:dyDescent="0.2">
      <c r="A172" s="2"/>
      <c r="B172" s="2"/>
      <c r="C172" s="3"/>
      <c r="D172" s="3"/>
      <c r="E172" s="3"/>
      <c r="F172" s="3"/>
      <c r="G172" s="3"/>
      <c r="H172" s="3"/>
      <c r="I172" s="3"/>
    </row>
    <row r="173" spans="1:9" x14ac:dyDescent="0.2">
      <c r="A173" s="2"/>
      <c r="B173" s="2"/>
      <c r="C173" s="3"/>
      <c r="D173" s="3"/>
      <c r="E173" s="3"/>
      <c r="F173" s="3"/>
      <c r="G173" s="3"/>
      <c r="H173" s="3"/>
      <c r="I173" s="3"/>
    </row>
    <row r="174" spans="1:9" x14ac:dyDescent="0.2">
      <c r="A174" s="2"/>
      <c r="B174" s="2"/>
      <c r="C174" s="3"/>
      <c r="D174" s="3"/>
      <c r="E174" s="3"/>
      <c r="F174" s="3"/>
      <c r="G174" s="3"/>
      <c r="H174" s="3"/>
      <c r="I174" s="3"/>
    </row>
    <row r="175" spans="1:9" x14ac:dyDescent="0.2">
      <c r="A175" s="2"/>
      <c r="B175" s="2"/>
      <c r="C175" s="3"/>
      <c r="D175" s="3"/>
      <c r="E175" s="3"/>
      <c r="F175" s="3"/>
      <c r="G175" s="3"/>
      <c r="H175" s="3"/>
      <c r="I175" s="3"/>
    </row>
    <row r="176" spans="1:9" x14ac:dyDescent="0.2">
      <c r="A176" s="2"/>
      <c r="B176" s="2"/>
      <c r="C176" s="3"/>
      <c r="D176" s="3"/>
      <c r="E176" s="3"/>
      <c r="F176" s="3"/>
      <c r="G176" s="3"/>
      <c r="H176" s="3"/>
      <c r="I176" s="3"/>
    </row>
    <row r="177" spans="1:9" x14ac:dyDescent="0.2">
      <c r="A177" s="2"/>
      <c r="B177" s="2"/>
      <c r="C177" s="3"/>
      <c r="D177" s="3"/>
      <c r="E177" s="3"/>
      <c r="F177" s="3"/>
      <c r="G177" s="3"/>
      <c r="H177" s="3"/>
      <c r="I177" s="3"/>
    </row>
    <row r="178" spans="1:9" x14ac:dyDescent="0.2">
      <c r="A178" s="2"/>
      <c r="B178" s="2"/>
      <c r="C178" s="3"/>
      <c r="D178" s="3"/>
      <c r="E178" s="3"/>
      <c r="F178" s="3"/>
      <c r="G178" s="3"/>
      <c r="H178" s="3"/>
      <c r="I178" s="3"/>
    </row>
    <row r="179" spans="1:9" x14ac:dyDescent="0.2">
      <c r="A179" s="2"/>
      <c r="B179" s="2"/>
      <c r="C179" s="3"/>
      <c r="D179" s="3"/>
      <c r="E179" s="3"/>
      <c r="F179" s="3"/>
      <c r="G179" s="3"/>
      <c r="H179" s="3"/>
      <c r="I179" s="3"/>
    </row>
    <row r="180" spans="1:9" x14ac:dyDescent="0.2">
      <c r="A180" s="2"/>
      <c r="B180" s="2"/>
      <c r="C180" s="3"/>
      <c r="D180" s="3"/>
      <c r="E180" s="3"/>
      <c r="F180" s="3"/>
      <c r="G180" s="3"/>
      <c r="H180" s="3"/>
      <c r="I180" s="3"/>
    </row>
    <row r="181" spans="1:9" x14ac:dyDescent="0.2">
      <c r="A181" s="2"/>
      <c r="B181" s="2"/>
      <c r="C181" s="3"/>
      <c r="D181" s="3"/>
      <c r="E181" s="3"/>
      <c r="F181" s="3"/>
      <c r="G181" s="3"/>
      <c r="H181" s="3"/>
      <c r="I181" s="3"/>
    </row>
    <row r="182" spans="1:9" x14ac:dyDescent="0.2">
      <c r="A182" s="2"/>
      <c r="B182" s="2"/>
      <c r="C182" s="3"/>
      <c r="D182" s="3"/>
      <c r="E182" s="3"/>
      <c r="F182" s="3"/>
      <c r="G182" s="3"/>
      <c r="H182" s="3"/>
      <c r="I182" s="3"/>
    </row>
    <row r="183" spans="1:9" x14ac:dyDescent="0.2">
      <c r="A183" s="2"/>
      <c r="B183" s="2"/>
      <c r="C183" s="3"/>
      <c r="D183" s="3"/>
      <c r="E183" s="3"/>
      <c r="F183" s="3"/>
      <c r="G183" s="3"/>
      <c r="H183" s="3"/>
      <c r="I183" s="3"/>
    </row>
    <row r="184" spans="1:9" x14ac:dyDescent="0.2">
      <c r="A184" s="2"/>
      <c r="B184" s="2"/>
      <c r="C184" s="3"/>
      <c r="D184" s="3"/>
      <c r="E184" s="3"/>
      <c r="F184" s="3"/>
      <c r="G184" s="3"/>
      <c r="H184" s="3"/>
      <c r="I184" s="3"/>
    </row>
    <row r="185" spans="1:9" x14ac:dyDescent="0.2">
      <c r="A185" s="2"/>
      <c r="B185" s="2"/>
      <c r="C185" s="3"/>
      <c r="D185" s="3"/>
      <c r="E185" s="3"/>
      <c r="F185" s="3"/>
      <c r="G185" s="3"/>
      <c r="H185" s="3"/>
      <c r="I185" s="3"/>
    </row>
    <row r="186" spans="1:9" x14ac:dyDescent="0.2">
      <c r="A186" s="2"/>
      <c r="B186" s="2"/>
      <c r="C186" s="3"/>
      <c r="D186" s="3"/>
      <c r="E186" s="3"/>
      <c r="F186" s="3"/>
      <c r="G186" s="3"/>
      <c r="H186" s="3"/>
      <c r="I186" s="3"/>
    </row>
    <row r="187" spans="1:9" x14ac:dyDescent="0.2">
      <c r="A187" s="2"/>
      <c r="B187" s="2"/>
      <c r="C187" s="3"/>
      <c r="D187" s="3"/>
      <c r="E187" s="3"/>
      <c r="F187" s="3"/>
      <c r="G187" s="3"/>
      <c r="H187" s="3"/>
      <c r="I187" s="3"/>
    </row>
    <row r="188" spans="1:9" x14ac:dyDescent="0.2">
      <c r="A188" s="2"/>
      <c r="B188" s="2"/>
      <c r="C188" s="3"/>
      <c r="D188" s="3"/>
      <c r="E188" s="3"/>
      <c r="F188" s="3"/>
      <c r="G188" s="3"/>
      <c r="H188" s="3"/>
      <c r="I188" s="3"/>
    </row>
    <row r="189" spans="1:9" x14ac:dyDescent="0.2">
      <c r="A189" s="2"/>
      <c r="B189" s="2"/>
      <c r="C189" s="3"/>
      <c r="D189" s="3"/>
      <c r="E189" s="3"/>
      <c r="F189" s="3"/>
      <c r="G189" s="3"/>
      <c r="H189" s="3"/>
      <c r="I189" s="3"/>
    </row>
    <row r="190" spans="1:9" x14ac:dyDescent="0.2">
      <c r="A190" s="2"/>
      <c r="B190" s="2"/>
      <c r="C190" s="3"/>
      <c r="D190" s="3"/>
      <c r="E190" s="3"/>
      <c r="F190" s="3"/>
      <c r="G190" s="3"/>
      <c r="H190" s="3"/>
    </row>
    <row r="191" spans="1:9" x14ac:dyDescent="0.2">
      <c r="B191" s="2"/>
      <c r="C191" s="3"/>
      <c r="D191" s="3"/>
      <c r="E191" s="3"/>
      <c r="F191" s="3"/>
      <c r="G191" s="3"/>
      <c r="H191" s="3"/>
    </row>
  </sheetData>
  <sortState xmlns:xlrd2="http://schemas.microsoft.com/office/spreadsheetml/2017/richdata2" ref="J26:K37">
    <sortCondition descending="1" ref="K26:K3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538F3-CE6B-3D4B-9BFE-D65FB1F6C8E4}">
  <dimension ref="A1:K46"/>
  <sheetViews>
    <sheetView topLeftCell="A12" zoomScaleNormal="75" workbookViewId="0">
      <selection activeCell="K31" sqref="K31"/>
    </sheetView>
  </sheetViews>
  <sheetFormatPr baseColWidth="10" defaultRowHeight="16" x14ac:dyDescent="0.2"/>
  <cols>
    <col min="1" max="1" width="12.83203125" customWidth="1"/>
    <col min="2" max="2" width="32.6640625" customWidth="1"/>
    <col min="3" max="3" width="15.6640625" customWidth="1"/>
    <col min="9" max="9" width="10.5" customWidth="1"/>
    <col min="10" max="10" width="15.5" customWidth="1"/>
  </cols>
  <sheetData>
    <row r="1" spans="1:11" x14ac:dyDescent="0.2">
      <c r="A1" s="5" t="s">
        <v>208</v>
      </c>
      <c r="B1" s="5" t="s">
        <v>572</v>
      </c>
      <c r="C1" s="3"/>
      <c r="D1" s="3"/>
      <c r="E1" s="3"/>
      <c r="F1" s="3"/>
      <c r="G1" s="3"/>
      <c r="H1" s="3"/>
      <c r="I1" s="3"/>
      <c r="J1" s="3"/>
      <c r="K1" s="3"/>
    </row>
    <row r="2" spans="1:11" x14ac:dyDescent="0.2">
      <c r="A2" s="7" t="s">
        <v>7</v>
      </c>
      <c r="B2" s="7">
        <v>45</v>
      </c>
      <c r="C2" s="3"/>
      <c r="D2" s="3"/>
      <c r="E2" s="3"/>
      <c r="F2" s="3"/>
      <c r="G2" s="3"/>
      <c r="H2" s="3"/>
      <c r="I2" s="3"/>
      <c r="J2" s="3"/>
      <c r="K2" s="3"/>
    </row>
    <row r="3" spans="1:11" x14ac:dyDescent="0.2">
      <c r="A3" s="7" t="s">
        <v>167</v>
      </c>
      <c r="B3" s="7">
        <v>17</v>
      </c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7" t="s">
        <v>49</v>
      </c>
      <c r="B4" s="7">
        <v>25</v>
      </c>
      <c r="C4" s="3"/>
      <c r="D4" s="3"/>
      <c r="E4" s="3"/>
      <c r="F4" s="3"/>
      <c r="G4" s="3"/>
      <c r="H4" s="3"/>
      <c r="I4" s="3"/>
      <c r="J4" s="3"/>
      <c r="K4" s="3"/>
    </row>
    <row r="5" spans="1:11" x14ac:dyDescent="0.2">
      <c r="A5" s="7" t="s">
        <v>136</v>
      </c>
      <c r="B5" s="7">
        <v>20</v>
      </c>
      <c r="C5" s="3"/>
      <c r="D5" s="3"/>
      <c r="E5" s="3"/>
      <c r="F5" s="3"/>
      <c r="G5" s="3"/>
      <c r="H5" s="3"/>
      <c r="I5" s="3"/>
      <c r="J5" s="3"/>
      <c r="K5" s="3"/>
    </row>
    <row r="6" spans="1:11" x14ac:dyDescent="0.2">
      <c r="A6" s="7" t="s">
        <v>130</v>
      </c>
      <c r="B6" s="7">
        <v>7</v>
      </c>
      <c r="C6" s="3"/>
      <c r="D6" s="3"/>
      <c r="E6" s="3"/>
      <c r="F6" s="3"/>
      <c r="G6" s="3"/>
      <c r="H6" s="3"/>
      <c r="I6" s="3"/>
      <c r="J6" s="3"/>
      <c r="K6" s="3"/>
    </row>
    <row r="7" spans="1:11" x14ac:dyDescent="0.2">
      <c r="A7" s="7" t="s">
        <v>573</v>
      </c>
      <c r="B7" s="7">
        <v>6</v>
      </c>
      <c r="C7" s="3"/>
      <c r="D7" s="3"/>
      <c r="E7" s="3"/>
      <c r="F7" s="3"/>
      <c r="G7" s="3"/>
      <c r="H7" s="3"/>
      <c r="I7" s="3"/>
      <c r="J7" s="3"/>
      <c r="K7" s="3"/>
    </row>
    <row r="8" spans="1:11" x14ac:dyDescent="0.2">
      <c r="A8" s="8" t="s">
        <v>595</v>
      </c>
      <c r="B8" s="8">
        <v>15</v>
      </c>
      <c r="C8" s="3"/>
      <c r="D8" s="3"/>
      <c r="E8" s="3"/>
      <c r="F8" s="3"/>
      <c r="G8" s="3"/>
      <c r="H8" s="3"/>
      <c r="I8" s="3"/>
      <c r="J8" s="3"/>
      <c r="K8" s="3"/>
    </row>
    <row r="9" spans="1:11" x14ac:dyDescent="0.2">
      <c r="A9" s="5" t="s">
        <v>211</v>
      </c>
      <c r="B9" s="5">
        <f>SUM(B2:B8)</f>
        <v>135</v>
      </c>
      <c r="C9" s="3"/>
      <c r="D9" s="3"/>
      <c r="E9" s="3"/>
      <c r="F9" s="3"/>
      <c r="G9" s="3"/>
      <c r="H9" s="3"/>
      <c r="I9" s="3"/>
      <c r="J9" s="3"/>
      <c r="K9" s="3"/>
    </row>
    <row r="10" spans="1: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5" t="s">
        <v>581</v>
      </c>
      <c r="B13" s="5" t="s">
        <v>216</v>
      </c>
      <c r="C13" s="5" t="s">
        <v>7</v>
      </c>
      <c r="D13" s="5" t="s">
        <v>167</v>
      </c>
      <c r="E13" s="5" t="s">
        <v>49</v>
      </c>
      <c r="F13" s="5" t="s">
        <v>136</v>
      </c>
      <c r="G13" s="5" t="s">
        <v>130</v>
      </c>
      <c r="H13" s="5" t="s">
        <v>573</v>
      </c>
      <c r="I13" s="5" t="s">
        <v>595</v>
      </c>
      <c r="J13" s="5" t="s">
        <v>211</v>
      </c>
      <c r="K13" s="3"/>
    </row>
    <row r="14" spans="1:11" x14ac:dyDescent="0.2">
      <c r="A14" s="5">
        <v>1</v>
      </c>
      <c r="B14" s="7" t="s">
        <v>217</v>
      </c>
      <c r="C14" s="7">
        <v>13</v>
      </c>
      <c r="D14" s="7">
        <v>1</v>
      </c>
      <c r="E14" s="7">
        <v>12</v>
      </c>
      <c r="F14" s="7">
        <v>9</v>
      </c>
      <c r="G14" s="7">
        <v>1</v>
      </c>
      <c r="H14" s="7">
        <v>0</v>
      </c>
      <c r="I14" s="17">
        <v>8</v>
      </c>
      <c r="J14" s="7">
        <f t="shared" ref="J14:J43" si="0">SUM(C14:I14)</f>
        <v>44</v>
      </c>
      <c r="K14" s="3"/>
    </row>
    <row r="15" spans="1:11" x14ac:dyDescent="0.2">
      <c r="A15" s="5">
        <v>2</v>
      </c>
      <c r="B15" s="7" t="s">
        <v>574</v>
      </c>
      <c r="C15" s="7">
        <v>6</v>
      </c>
      <c r="D15" s="7">
        <v>1</v>
      </c>
      <c r="E15" s="7">
        <v>4</v>
      </c>
      <c r="F15" s="7">
        <v>2</v>
      </c>
      <c r="G15" s="7">
        <v>0</v>
      </c>
      <c r="H15" s="7">
        <v>0</v>
      </c>
      <c r="I15" s="17">
        <v>0</v>
      </c>
      <c r="J15" s="7">
        <f t="shared" si="0"/>
        <v>13</v>
      </c>
      <c r="K15" s="3"/>
    </row>
    <row r="16" spans="1:11" x14ac:dyDescent="0.2">
      <c r="A16" s="5">
        <v>3</v>
      </c>
      <c r="B16" s="7" t="s">
        <v>226</v>
      </c>
      <c r="C16" s="7">
        <v>6</v>
      </c>
      <c r="D16" s="7">
        <v>0</v>
      </c>
      <c r="E16" s="7">
        <v>3</v>
      </c>
      <c r="F16" s="7">
        <v>1</v>
      </c>
      <c r="G16" s="7">
        <v>1</v>
      </c>
      <c r="H16" s="7">
        <v>0</v>
      </c>
      <c r="I16" s="17">
        <v>2</v>
      </c>
      <c r="J16" s="7">
        <f t="shared" si="0"/>
        <v>13</v>
      </c>
      <c r="K16" s="3"/>
    </row>
    <row r="17" spans="1:11" x14ac:dyDescent="0.2">
      <c r="A17" s="5">
        <v>4</v>
      </c>
      <c r="B17" s="7" t="s">
        <v>575</v>
      </c>
      <c r="C17" s="7">
        <v>3</v>
      </c>
      <c r="D17" s="7">
        <v>3</v>
      </c>
      <c r="E17" s="7">
        <v>3</v>
      </c>
      <c r="F17" s="7">
        <v>0</v>
      </c>
      <c r="G17" s="7">
        <v>0</v>
      </c>
      <c r="H17" s="7">
        <v>1</v>
      </c>
      <c r="I17" s="17">
        <v>0</v>
      </c>
      <c r="J17" s="7">
        <f t="shared" si="0"/>
        <v>10</v>
      </c>
      <c r="K17" s="3"/>
    </row>
    <row r="18" spans="1:11" x14ac:dyDescent="0.2">
      <c r="A18" s="5">
        <v>5</v>
      </c>
      <c r="B18" s="7" t="s">
        <v>220</v>
      </c>
      <c r="C18" s="7">
        <v>1</v>
      </c>
      <c r="D18" s="7">
        <v>2</v>
      </c>
      <c r="E18" s="7">
        <v>2</v>
      </c>
      <c r="F18" s="7">
        <v>0</v>
      </c>
      <c r="G18" s="7">
        <v>3</v>
      </c>
      <c r="H18" s="7">
        <v>1</v>
      </c>
      <c r="I18" s="17">
        <v>1</v>
      </c>
      <c r="J18" s="7">
        <f t="shared" si="0"/>
        <v>10</v>
      </c>
      <c r="K18" s="3"/>
    </row>
    <row r="19" spans="1:11" x14ac:dyDescent="0.2">
      <c r="A19" s="5">
        <v>6</v>
      </c>
      <c r="B19" s="7" t="s">
        <v>325</v>
      </c>
      <c r="C19" s="7">
        <v>5</v>
      </c>
      <c r="D19" s="7">
        <v>0</v>
      </c>
      <c r="E19" s="7">
        <v>2</v>
      </c>
      <c r="F19" s="7">
        <v>1</v>
      </c>
      <c r="G19" s="7">
        <v>1</v>
      </c>
      <c r="H19" s="7">
        <v>0</v>
      </c>
      <c r="I19" s="17">
        <v>0</v>
      </c>
      <c r="J19" s="7">
        <f t="shared" si="0"/>
        <v>9</v>
      </c>
      <c r="K19" s="3"/>
    </row>
    <row r="20" spans="1:11" x14ac:dyDescent="0.2">
      <c r="A20" s="5">
        <v>7</v>
      </c>
      <c r="B20" s="7" t="s">
        <v>242</v>
      </c>
      <c r="C20" s="7">
        <v>1</v>
      </c>
      <c r="D20" s="7">
        <v>0</v>
      </c>
      <c r="E20" s="7">
        <v>0</v>
      </c>
      <c r="F20" s="7">
        <v>7</v>
      </c>
      <c r="G20" s="7">
        <v>0</v>
      </c>
      <c r="H20" s="7">
        <v>0</v>
      </c>
      <c r="I20" s="17">
        <v>1</v>
      </c>
      <c r="J20" s="7">
        <f t="shared" si="0"/>
        <v>9</v>
      </c>
      <c r="K20" s="3"/>
    </row>
    <row r="21" spans="1:11" x14ac:dyDescent="0.2">
      <c r="A21" s="5">
        <v>8</v>
      </c>
      <c r="B21" s="7" t="s">
        <v>250</v>
      </c>
      <c r="C21" s="7">
        <v>2</v>
      </c>
      <c r="D21" s="7">
        <v>1</v>
      </c>
      <c r="E21" s="7">
        <v>3</v>
      </c>
      <c r="F21" s="7">
        <v>3</v>
      </c>
      <c r="G21" s="7">
        <v>0</v>
      </c>
      <c r="H21" s="7">
        <v>0</v>
      </c>
      <c r="I21" s="17">
        <v>0</v>
      </c>
      <c r="J21" s="7">
        <f t="shared" si="0"/>
        <v>9</v>
      </c>
      <c r="K21" s="3"/>
    </row>
    <row r="22" spans="1:11" x14ac:dyDescent="0.2">
      <c r="A22" s="5">
        <v>9</v>
      </c>
      <c r="B22" s="7" t="s">
        <v>341</v>
      </c>
      <c r="C22" s="7">
        <v>1</v>
      </c>
      <c r="D22" s="7">
        <v>4</v>
      </c>
      <c r="E22" s="7">
        <v>1</v>
      </c>
      <c r="F22" s="7">
        <v>0</v>
      </c>
      <c r="G22" s="7">
        <v>0</v>
      </c>
      <c r="H22" s="7">
        <v>2</v>
      </c>
      <c r="I22" s="17">
        <v>0</v>
      </c>
      <c r="J22" s="7">
        <f t="shared" si="0"/>
        <v>8</v>
      </c>
      <c r="K22" s="3"/>
    </row>
    <row r="23" spans="1:11" x14ac:dyDescent="0.2">
      <c r="A23" s="5">
        <v>10</v>
      </c>
      <c r="B23" s="7" t="s">
        <v>230</v>
      </c>
      <c r="C23" s="7">
        <v>4</v>
      </c>
      <c r="D23" s="7">
        <v>0</v>
      </c>
      <c r="E23" s="7">
        <v>2</v>
      </c>
      <c r="F23" s="7">
        <v>0</v>
      </c>
      <c r="G23" s="7">
        <v>1</v>
      </c>
      <c r="H23" s="7">
        <v>0</v>
      </c>
      <c r="I23" s="17">
        <v>0</v>
      </c>
      <c r="J23" s="7">
        <f t="shared" si="0"/>
        <v>7</v>
      </c>
      <c r="K23" s="3"/>
    </row>
    <row r="24" spans="1:11" x14ac:dyDescent="0.2">
      <c r="A24" s="5">
        <v>11</v>
      </c>
      <c r="B24" s="7" t="s">
        <v>249</v>
      </c>
      <c r="C24" s="7">
        <v>1</v>
      </c>
      <c r="D24" s="7">
        <v>0</v>
      </c>
      <c r="E24" s="7">
        <v>2</v>
      </c>
      <c r="F24" s="7">
        <v>2</v>
      </c>
      <c r="G24" s="7">
        <v>0</v>
      </c>
      <c r="H24" s="7">
        <v>0</v>
      </c>
      <c r="I24" s="17">
        <v>2</v>
      </c>
      <c r="J24" s="7">
        <f t="shared" si="0"/>
        <v>7</v>
      </c>
      <c r="K24" s="3"/>
    </row>
    <row r="25" spans="1:11" x14ac:dyDescent="0.2">
      <c r="A25" s="5">
        <v>12</v>
      </c>
      <c r="B25" s="7" t="s">
        <v>324</v>
      </c>
      <c r="C25" s="7">
        <v>3</v>
      </c>
      <c r="D25" s="7">
        <v>0</v>
      </c>
      <c r="E25" s="7">
        <v>1</v>
      </c>
      <c r="F25" s="7">
        <v>0</v>
      </c>
      <c r="G25" s="7">
        <v>0</v>
      </c>
      <c r="H25" s="7">
        <v>2</v>
      </c>
      <c r="I25" s="17">
        <v>0</v>
      </c>
      <c r="J25" s="7">
        <f t="shared" si="0"/>
        <v>6</v>
      </c>
      <c r="K25" s="3"/>
    </row>
    <row r="26" spans="1:11" x14ac:dyDescent="0.2">
      <c r="A26" s="5">
        <v>13</v>
      </c>
      <c r="B26" s="7" t="s">
        <v>229</v>
      </c>
      <c r="C26" s="7">
        <v>0</v>
      </c>
      <c r="D26" s="7">
        <v>0</v>
      </c>
      <c r="E26" s="7">
        <v>2</v>
      </c>
      <c r="F26" s="7">
        <v>2</v>
      </c>
      <c r="G26" s="7">
        <v>0</v>
      </c>
      <c r="H26" s="7">
        <v>0</v>
      </c>
      <c r="I26" s="17">
        <v>1</v>
      </c>
      <c r="J26" s="7">
        <f t="shared" si="0"/>
        <v>5</v>
      </c>
      <c r="K26" s="3"/>
    </row>
    <row r="27" spans="1:11" x14ac:dyDescent="0.2">
      <c r="A27" s="5">
        <v>14</v>
      </c>
      <c r="B27" s="7" t="s">
        <v>450</v>
      </c>
      <c r="C27" s="7">
        <v>0</v>
      </c>
      <c r="D27" s="7">
        <v>0</v>
      </c>
      <c r="E27" s="7">
        <v>4</v>
      </c>
      <c r="F27" s="7">
        <v>0</v>
      </c>
      <c r="G27" s="7">
        <v>1</v>
      </c>
      <c r="H27" s="7">
        <v>0</v>
      </c>
      <c r="I27" s="17">
        <v>0</v>
      </c>
      <c r="J27" s="7">
        <f t="shared" si="0"/>
        <v>5</v>
      </c>
      <c r="K27" s="3"/>
    </row>
    <row r="28" spans="1:11" x14ac:dyDescent="0.2">
      <c r="A28" s="5">
        <v>15</v>
      </c>
      <c r="B28" s="7" t="s">
        <v>363</v>
      </c>
      <c r="C28" s="7">
        <v>5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17">
        <v>0</v>
      </c>
      <c r="J28" s="7">
        <f t="shared" si="0"/>
        <v>5</v>
      </c>
      <c r="K28" s="3"/>
    </row>
    <row r="29" spans="1:11" x14ac:dyDescent="0.2">
      <c r="A29" s="5">
        <v>16</v>
      </c>
      <c r="B29" s="7" t="s">
        <v>170</v>
      </c>
      <c r="C29" s="7">
        <v>2</v>
      </c>
      <c r="D29" s="7">
        <v>0</v>
      </c>
      <c r="E29" s="7">
        <v>1</v>
      </c>
      <c r="F29" s="7">
        <v>1</v>
      </c>
      <c r="G29" s="7">
        <v>0</v>
      </c>
      <c r="H29" s="7">
        <v>0</v>
      </c>
      <c r="I29" s="17">
        <v>1</v>
      </c>
      <c r="J29" s="7">
        <f t="shared" si="0"/>
        <v>5</v>
      </c>
      <c r="K29" s="3"/>
    </row>
    <row r="30" spans="1:11" x14ac:dyDescent="0.2">
      <c r="A30" s="5">
        <v>17</v>
      </c>
      <c r="B30" s="7" t="s">
        <v>578</v>
      </c>
      <c r="C30" s="7">
        <v>1</v>
      </c>
      <c r="D30" s="7">
        <v>0</v>
      </c>
      <c r="E30" s="7">
        <v>2</v>
      </c>
      <c r="F30" s="7">
        <v>1</v>
      </c>
      <c r="G30" s="7">
        <v>0</v>
      </c>
      <c r="H30" s="7">
        <v>0</v>
      </c>
      <c r="I30" s="17">
        <v>1</v>
      </c>
      <c r="J30" s="7">
        <f t="shared" si="0"/>
        <v>5</v>
      </c>
      <c r="K30" s="3"/>
    </row>
    <row r="31" spans="1:11" x14ac:dyDescent="0.2">
      <c r="A31" s="5">
        <v>18</v>
      </c>
      <c r="B31" s="7" t="s">
        <v>221</v>
      </c>
      <c r="C31" s="7">
        <v>2</v>
      </c>
      <c r="D31" s="7">
        <v>0</v>
      </c>
      <c r="E31" s="7">
        <v>1</v>
      </c>
      <c r="F31" s="7">
        <v>0</v>
      </c>
      <c r="G31" s="7">
        <v>0</v>
      </c>
      <c r="H31" s="7">
        <v>0</v>
      </c>
      <c r="I31" s="17">
        <v>2</v>
      </c>
      <c r="J31" s="7">
        <f t="shared" si="0"/>
        <v>5</v>
      </c>
      <c r="K31" s="3"/>
    </row>
    <row r="32" spans="1:11" x14ac:dyDescent="0.2">
      <c r="A32" s="5">
        <v>21</v>
      </c>
      <c r="B32" s="7" t="s">
        <v>224</v>
      </c>
      <c r="C32" s="7">
        <v>1</v>
      </c>
      <c r="D32" s="7">
        <v>0</v>
      </c>
      <c r="E32" s="7">
        <v>3</v>
      </c>
      <c r="F32" s="7">
        <v>0</v>
      </c>
      <c r="G32" s="7">
        <v>0</v>
      </c>
      <c r="H32" s="7">
        <v>1</v>
      </c>
      <c r="I32" s="17">
        <v>0</v>
      </c>
      <c r="J32" s="7">
        <f t="shared" si="0"/>
        <v>5</v>
      </c>
      <c r="K32" s="3"/>
    </row>
    <row r="33" spans="1:11" x14ac:dyDescent="0.2">
      <c r="A33" s="5">
        <v>19</v>
      </c>
      <c r="B33" s="7" t="s">
        <v>582</v>
      </c>
      <c r="C33" s="7">
        <v>0</v>
      </c>
      <c r="D33" s="7">
        <v>0</v>
      </c>
      <c r="E33" s="7">
        <v>0</v>
      </c>
      <c r="F33" s="7">
        <v>0</v>
      </c>
      <c r="G33" s="7">
        <v>3</v>
      </c>
      <c r="H33" s="7">
        <v>1</v>
      </c>
      <c r="I33" s="17">
        <v>0</v>
      </c>
      <c r="J33" s="7">
        <f t="shared" si="0"/>
        <v>4</v>
      </c>
      <c r="K33" s="3"/>
    </row>
    <row r="34" spans="1:11" x14ac:dyDescent="0.2">
      <c r="A34" s="5">
        <v>20</v>
      </c>
      <c r="B34" s="7" t="s">
        <v>579</v>
      </c>
      <c r="C34" s="7">
        <v>0</v>
      </c>
      <c r="D34" s="7">
        <v>3</v>
      </c>
      <c r="E34" s="7">
        <v>0</v>
      </c>
      <c r="F34" s="7">
        <v>0</v>
      </c>
      <c r="G34" s="7">
        <v>1</v>
      </c>
      <c r="H34" s="7">
        <v>0</v>
      </c>
      <c r="I34" s="17">
        <v>0</v>
      </c>
      <c r="J34" s="7">
        <f t="shared" si="0"/>
        <v>4</v>
      </c>
      <c r="K34" s="3"/>
    </row>
    <row r="35" spans="1:11" x14ac:dyDescent="0.2">
      <c r="A35" s="5">
        <v>22</v>
      </c>
      <c r="B35" s="7" t="s">
        <v>342</v>
      </c>
      <c r="C35" s="7">
        <v>2</v>
      </c>
      <c r="D35" s="7">
        <v>0</v>
      </c>
      <c r="E35" s="7">
        <v>1</v>
      </c>
      <c r="F35" s="7">
        <v>1</v>
      </c>
      <c r="G35" s="7">
        <v>0</v>
      </c>
      <c r="H35" s="7">
        <v>0</v>
      </c>
      <c r="I35" s="17">
        <v>0</v>
      </c>
      <c r="J35" s="7">
        <f t="shared" si="0"/>
        <v>4</v>
      </c>
      <c r="K35" s="3"/>
    </row>
    <row r="36" spans="1:11" x14ac:dyDescent="0.2">
      <c r="A36" s="5">
        <v>23</v>
      </c>
      <c r="B36" s="7" t="s">
        <v>567</v>
      </c>
      <c r="C36" s="7">
        <v>0</v>
      </c>
      <c r="D36" s="7">
        <v>0</v>
      </c>
      <c r="E36" s="7">
        <v>1</v>
      </c>
      <c r="F36" s="7">
        <v>1</v>
      </c>
      <c r="G36" s="7">
        <v>1</v>
      </c>
      <c r="H36" s="7">
        <v>0</v>
      </c>
      <c r="I36" s="17">
        <v>1</v>
      </c>
      <c r="J36" s="7">
        <f t="shared" si="0"/>
        <v>4</v>
      </c>
      <c r="K36" s="3"/>
    </row>
    <row r="37" spans="1:11" x14ac:dyDescent="0.2">
      <c r="A37" s="5">
        <v>24</v>
      </c>
      <c r="B37" s="7" t="s">
        <v>555</v>
      </c>
      <c r="C37" s="7">
        <v>0</v>
      </c>
      <c r="D37" s="7">
        <v>4</v>
      </c>
      <c r="E37" s="7">
        <v>0</v>
      </c>
      <c r="F37" s="7">
        <v>0</v>
      </c>
      <c r="G37" s="7">
        <v>0</v>
      </c>
      <c r="H37" s="7">
        <v>0</v>
      </c>
      <c r="I37" s="17">
        <v>0</v>
      </c>
      <c r="J37" s="7">
        <f t="shared" si="0"/>
        <v>4</v>
      </c>
      <c r="K37" s="3"/>
    </row>
    <row r="38" spans="1:11" x14ac:dyDescent="0.2">
      <c r="A38" s="5">
        <v>25</v>
      </c>
      <c r="B38" s="7" t="s">
        <v>461</v>
      </c>
      <c r="C38" s="7">
        <v>0</v>
      </c>
      <c r="D38" s="7">
        <v>0</v>
      </c>
      <c r="E38" s="7">
        <v>3</v>
      </c>
      <c r="F38" s="7">
        <v>0</v>
      </c>
      <c r="G38" s="7">
        <v>0</v>
      </c>
      <c r="H38" s="7">
        <v>0</v>
      </c>
      <c r="I38" s="17">
        <v>1</v>
      </c>
      <c r="J38" s="7">
        <f t="shared" si="0"/>
        <v>4</v>
      </c>
      <c r="K38" s="3"/>
    </row>
    <row r="39" spans="1:11" x14ac:dyDescent="0.2">
      <c r="A39" s="5">
        <v>27</v>
      </c>
      <c r="B39" s="7" t="s">
        <v>577</v>
      </c>
      <c r="C39" s="7">
        <v>1</v>
      </c>
      <c r="D39" s="7">
        <v>0</v>
      </c>
      <c r="E39" s="7">
        <v>2</v>
      </c>
      <c r="F39" s="7">
        <v>0</v>
      </c>
      <c r="G39" s="7">
        <v>0</v>
      </c>
      <c r="H39" s="7">
        <v>0</v>
      </c>
      <c r="I39" s="17">
        <v>1</v>
      </c>
      <c r="J39" s="7">
        <f t="shared" si="0"/>
        <v>4</v>
      </c>
      <c r="K39" s="3"/>
    </row>
    <row r="40" spans="1:11" x14ac:dyDescent="0.2">
      <c r="A40" s="5">
        <v>26</v>
      </c>
      <c r="B40" s="7" t="s">
        <v>576</v>
      </c>
      <c r="C40" s="7">
        <v>2</v>
      </c>
      <c r="D40" s="7">
        <v>0</v>
      </c>
      <c r="E40" s="7">
        <v>1</v>
      </c>
      <c r="F40" s="7">
        <v>0</v>
      </c>
      <c r="G40" s="7">
        <v>0</v>
      </c>
      <c r="H40" s="7">
        <v>0</v>
      </c>
      <c r="I40" s="17">
        <v>0</v>
      </c>
      <c r="J40" s="7">
        <f t="shared" si="0"/>
        <v>3</v>
      </c>
      <c r="K40" s="3"/>
    </row>
    <row r="41" spans="1:11" x14ac:dyDescent="0.2">
      <c r="A41" s="5">
        <v>28</v>
      </c>
      <c r="B41" s="7" t="s">
        <v>457</v>
      </c>
      <c r="C41" s="7">
        <v>0</v>
      </c>
      <c r="D41" s="7">
        <v>0</v>
      </c>
      <c r="E41" s="7">
        <v>0</v>
      </c>
      <c r="F41" s="7">
        <v>0</v>
      </c>
      <c r="G41" s="7">
        <v>1</v>
      </c>
      <c r="H41" s="7">
        <v>1</v>
      </c>
      <c r="I41" s="17">
        <v>1</v>
      </c>
      <c r="J41" s="7">
        <f t="shared" si="0"/>
        <v>3</v>
      </c>
      <c r="K41" s="3"/>
    </row>
    <row r="42" spans="1:11" x14ac:dyDescent="0.2">
      <c r="A42" s="5">
        <v>29</v>
      </c>
      <c r="B42" s="7" t="s">
        <v>466</v>
      </c>
      <c r="C42" s="7">
        <v>0</v>
      </c>
      <c r="D42" s="7">
        <v>3</v>
      </c>
      <c r="E42" s="7">
        <v>0</v>
      </c>
      <c r="F42" s="7">
        <v>0</v>
      </c>
      <c r="G42" s="7">
        <v>0</v>
      </c>
      <c r="H42" s="7">
        <v>0</v>
      </c>
      <c r="I42" s="17">
        <v>0</v>
      </c>
      <c r="J42" s="7">
        <f t="shared" si="0"/>
        <v>3</v>
      </c>
      <c r="K42" s="3"/>
    </row>
    <row r="43" spans="1:11" x14ac:dyDescent="0.2">
      <c r="A43" s="5">
        <v>30</v>
      </c>
      <c r="B43" s="7" t="s">
        <v>580</v>
      </c>
      <c r="C43" s="7">
        <v>2</v>
      </c>
      <c r="D43" s="7">
        <v>1</v>
      </c>
      <c r="E43" s="7">
        <v>0</v>
      </c>
      <c r="F43" s="7">
        <v>0</v>
      </c>
      <c r="G43" s="7">
        <v>0</v>
      </c>
      <c r="H43" s="7">
        <v>0</v>
      </c>
      <c r="I43" s="17">
        <v>0</v>
      </c>
      <c r="J43" s="7">
        <f t="shared" si="0"/>
        <v>3</v>
      </c>
      <c r="K43" s="3"/>
    </row>
    <row r="44" spans="1:1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</sheetData>
  <sortState xmlns:xlrd2="http://schemas.microsoft.com/office/spreadsheetml/2017/richdata2" ref="A14:J43">
    <sortCondition descending="1" ref="J14:J43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7856-A2E3-DF42-A390-0A1AD49D5B6C}">
  <dimension ref="A1:AA130"/>
  <sheetViews>
    <sheetView topLeftCell="R24" workbookViewId="0">
      <selection activeCell="C3" sqref="C3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20" customWidth="1"/>
    <col min="4" max="4" width="14.1640625" customWidth="1"/>
    <col min="7" max="7" width="27.33203125" customWidth="1"/>
    <col min="8" max="8" width="61.6640625" bestFit="1" customWidth="1"/>
    <col min="16" max="16" width="71.33203125" customWidth="1"/>
    <col min="17" max="17" width="74.33203125" bestFit="1" customWidth="1"/>
    <col min="25" max="25" width="147.6640625" customWidth="1"/>
    <col min="26" max="26" width="57.33203125" bestFit="1" customWidth="1"/>
  </cols>
  <sheetData>
    <row r="1" spans="1:27" x14ac:dyDescent="0.2">
      <c r="A1" s="3"/>
      <c r="B1" s="3"/>
      <c r="C1" s="3"/>
      <c r="D1" s="3"/>
      <c r="E1" s="42" t="s">
        <v>589</v>
      </c>
      <c r="F1" s="43"/>
      <c r="G1" s="4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">
      <c r="A2" s="5" t="s">
        <v>583</v>
      </c>
      <c r="B2" s="5" t="s">
        <v>584</v>
      </c>
      <c r="C2" s="5" t="s">
        <v>585</v>
      </c>
      <c r="D2" s="11"/>
      <c r="E2" s="5" t="s">
        <v>583</v>
      </c>
      <c r="F2" s="5" t="s">
        <v>584</v>
      </c>
      <c r="G2" s="5" t="s">
        <v>585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">
      <c r="A3" s="5" t="s">
        <v>7</v>
      </c>
      <c r="B3" s="6" cm="1">
        <f t="array" aca="1" ref="B3" ca="1">INDEX(A14:A129, RANDBETWEEN(1, COUNTA(A14:A129)))</f>
        <v>233</v>
      </c>
      <c r="C3" s="6" cm="1">
        <f t="array" aca="1" ref="C3" ca="1">INDEX(A14:A129, RANDBETWEEN(1, COUNTA(A14:A129)))</f>
        <v>91</v>
      </c>
      <c r="D3" s="3"/>
      <c r="E3" s="5" t="s">
        <v>7</v>
      </c>
      <c r="F3" s="6">
        <v>26</v>
      </c>
      <c r="G3" s="6">
        <v>103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">
      <c r="A4" s="5" t="s">
        <v>167</v>
      </c>
      <c r="B4" s="6" cm="1">
        <f t="array" aca="1" ref="B4" ca="1">INDEX(J14:J36, RANDBETWEEN(1, COUNTA(J14:J36)))</f>
        <v>261</v>
      </c>
      <c r="C4" s="6" cm="1">
        <f t="array" aca="1" ref="C4" ca="1">INDEX(J14:J36, RANDBETWEEN(1, COUNTA(J14:J36)))</f>
        <v>260</v>
      </c>
      <c r="D4" s="3"/>
      <c r="E4" s="5" t="s">
        <v>167</v>
      </c>
      <c r="F4" s="6">
        <v>234</v>
      </c>
      <c r="G4" s="6">
        <v>183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">
      <c r="A5" s="5" t="s">
        <v>49</v>
      </c>
      <c r="B5" s="6" cm="1">
        <f t="array" aca="1" ref="B5" ca="1">INDEX(J43:J82, RANDBETWEEN(1, COUNTA(J43:J82)))</f>
        <v>296</v>
      </c>
      <c r="C5" s="6" cm="1">
        <f t="array" aca="1" ref="C5" ca="1">INDEX(J43:J82, RANDBETWEEN(1, COUNTA(J43:J82)))</f>
        <v>307</v>
      </c>
      <c r="D5" s="3"/>
      <c r="E5" s="5" t="s">
        <v>49</v>
      </c>
      <c r="F5" s="6">
        <v>88</v>
      </c>
      <c r="G5" s="6">
        <v>36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">
      <c r="A6" s="5" t="s">
        <v>136</v>
      </c>
      <c r="B6" s="6" cm="1">
        <f t="array" aca="1" ref="B6" ca="1">INDEX(J89:J114, RANDBETWEEN(1, COUNTA(J89:J114)))</f>
        <v>248</v>
      </c>
      <c r="C6" s="6" cm="1">
        <f t="array" aca="1" ref="C6" ca="1">INDEX(J89:J114, RANDBETWEEN(1, COUNTA(J89:J114)))</f>
        <v>266</v>
      </c>
      <c r="D6" s="3"/>
      <c r="E6" s="5" t="s">
        <v>136</v>
      </c>
      <c r="F6" s="6">
        <v>130</v>
      </c>
      <c r="G6" s="6">
        <v>248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">
      <c r="A7" s="5" t="s">
        <v>130</v>
      </c>
      <c r="B7" s="6" cm="1">
        <f t="array" aca="1" ref="B7" ca="1">INDEX(S14:S22, RANDBETWEEN(1, COUNTA(S14:S22)))</f>
        <v>181</v>
      </c>
      <c r="C7" s="6" cm="1">
        <f t="array" aca="1" ref="C7" ca="1">INDEX(S14:S22, RANDBETWEEN(1, COUNTA(S14:S22)))</f>
        <v>297</v>
      </c>
      <c r="D7" s="3"/>
      <c r="E7" s="5" t="s">
        <v>130</v>
      </c>
      <c r="F7" s="6">
        <v>288</v>
      </c>
      <c r="G7" s="6">
        <v>69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">
      <c r="A8" s="5" t="s">
        <v>573</v>
      </c>
      <c r="B8" s="2" cm="1">
        <f t="array" aca="1" ref="B8" ca="1">INDEX(S29:S37, RANDBETWEEN(1, COUNTA(S29:S37)))</f>
        <v>268</v>
      </c>
      <c r="C8" s="6" cm="1">
        <f t="array" aca="1" ref="C8" ca="1">INDEX(S29:S37, RANDBETWEEN(1, COUNTA(S29:S37)))</f>
        <v>256</v>
      </c>
      <c r="D8" s="3"/>
      <c r="E8" s="5" t="s">
        <v>573</v>
      </c>
      <c r="F8" s="2">
        <v>256</v>
      </c>
      <c r="G8" s="6">
        <v>192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">
      <c r="A9" s="5" t="s">
        <v>595</v>
      </c>
      <c r="B9" s="6" cm="1">
        <f t="array" aca="1" ref="B9" ca="1">INDEX(S44:S60, RANDBETWEEN(1, COUNTA(S44:S60)))</f>
        <v>273</v>
      </c>
      <c r="C9" s="6" cm="1">
        <f t="array" aca="1" ref="C9" ca="1">INDEX(S44:S60, RANDBETWEEN(1, COUNTA(S44:S60)))</f>
        <v>317</v>
      </c>
      <c r="D9" s="3"/>
      <c r="E9" s="5" t="s">
        <v>595</v>
      </c>
      <c r="F9" s="6">
        <v>258</v>
      </c>
      <c r="G9" s="6">
        <v>77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2">
      <c r="A11" s="36" t="s">
        <v>590</v>
      </c>
      <c r="B11" s="43"/>
      <c r="C11" s="43"/>
      <c r="D11" s="43"/>
      <c r="E11" s="43"/>
      <c r="F11" s="43"/>
      <c r="G11" s="43"/>
      <c r="H11" s="43"/>
      <c r="I11" s="3"/>
      <c r="J11" s="45" t="s">
        <v>586</v>
      </c>
      <c r="K11" s="45"/>
      <c r="L11" s="45"/>
      <c r="M11" s="45"/>
      <c r="N11" s="45"/>
      <c r="O11" s="45"/>
      <c r="P11" s="45"/>
      <c r="Q11" s="45"/>
      <c r="R11" s="3"/>
      <c r="S11" s="36" t="s">
        <v>593</v>
      </c>
      <c r="T11" s="36"/>
      <c r="U11" s="36"/>
      <c r="V11" s="36"/>
      <c r="W11" s="36"/>
      <c r="X11" s="36"/>
      <c r="Y11" s="36"/>
      <c r="Z11" s="36"/>
      <c r="AA11" s="3"/>
    </row>
    <row r="12" spans="1:27" x14ac:dyDescent="0.2">
      <c r="A12" s="44"/>
      <c r="B12" s="44"/>
      <c r="C12" s="44"/>
      <c r="D12" s="44"/>
      <c r="E12" s="44"/>
      <c r="F12" s="44"/>
      <c r="G12" s="44"/>
      <c r="H12" s="44"/>
      <c r="I12" s="3"/>
      <c r="J12" s="46"/>
      <c r="K12" s="46"/>
      <c r="L12" s="46"/>
      <c r="M12" s="46"/>
      <c r="N12" s="46"/>
      <c r="O12" s="46"/>
      <c r="P12" s="46"/>
      <c r="Q12" s="46"/>
      <c r="R12" s="3"/>
      <c r="S12" s="37"/>
      <c r="T12" s="37"/>
      <c r="U12" s="37"/>
      <c r="V12" s="37"/>
      <c r="W12" s="37"/>
      <c r="X12" s="37"/>
      <c r="Y12" s="37"/>
      <c r="Z12" s="37"/>
      <c r="AA12" s="3"/>
    </row>
    <row r="13" spans="1:27" x14ac:dyDescent="0.2">
      <c r="A13" s="4" t="s">
        <v>0</v>
      </c>
      <c r="B13" s="4" t="s">
        <v>5</v>
      </c>
      <c r="C13" s="5" t="s">
        <v>1</v>
      </c>
      <c r="D13" s="5" t="s">
        <v>2</v>
      </c>
      <c r="E13" s="5" t="s">
        <v>71</v>
      </c>
      <c r="F13" s="5" t="s">
        <v>126</v>
      </c>
      <c r="G13" s="5" t="s">
        <v>3</v>
      </c>
      <c r="H13" s="5" t="s">
        <v>4</v>
      </c>
      <c r="I13" s="3"/>
      <c r="J13" s="33" t="s">
        <v>0</v>
      </c>
      <c r="K13" s="34" t="s">
        <v>5</v>
      </c>
      <c r="L13" s="35" t="s">
        <v>1</v>
      </c>
      <c r="M13" s="35" t="s">
        <v>2</v>
      </c>
      <c r="N13" s="35" t="s">
        <v>71</v>
      </c>
      <c r="O13" s="35" t="s">
        <v>126</v>
      </c>
      <c r="P13" s="35" t="s">
        <v>3</v>
      </c>
      <c r="Q13" s="35" t="s">
        <v>4</v>
      </c>
      <c r="R13" s="3"/>
      <c r="S13" s="33" t="s">
        <v>0</v>
      </c>
      <c r="T13" s="34" t="s">
        <v>5</v>
      </c>
      <c r="U13" s="35" t="s">
        <v>1</v>
      </c>
      <c r="V13" s="35" t="s">
        <v>2</v>
      </c>
      <c r="W13" s="35" t="s">
        <v>71</v>
      </c>
      <c r="X13" s="35" t="s">
        <v>126</v>
      </c>
      <c r="Y13" s="35" t="s">
        <v>3</v>
      </c>
      <c r="Z13" s="35" t="s">
        <v>4</v>
      </c>
      <c r="AA13" s="3"/>
    </row>
    <row r="14" spans="1:27" x14ac:dyDescent="0.2">
      <c r="A14" s="6">
        <v>1</v>
      </c>
      <c r="B14" s="6" t="s">
        <v>6</v>
      </c>
      <c r="C14" s="7" t="s">
        <v>7</v>
      </c>
      <c r="D14" s="7">
        <v>2020</v>
      </c>
      <c r="E14" s="7" t="s">
        <v>128</v>
      </c>
      <c r="F14" s="7" t="s">
        <v>127</v>
      </c>
      <c r="G14" s="7" t="s">
        <v>9</v>
      </c>
      <c r="H14" s="7" t="s">
        <v>8</v>
      </c>
      <c r="I14" s="3"/>
      <c r="J14" s="27">
        <v>177</v>
      </c>
      <c r="K14" s="27" t="s">
        <v>374</v>
      </c>
      <c r="L14" s="28" t="s">
        <v>167</v>
      </c>
      <c r="M14" s="28">
        <v>2015</v>
      </c>
      <c r="N14" s="28" t="s">
        <v>128</v>
      </c>
      <c r="O14" s="28" t="s">
        <v>127</v>
      </c>
      <c r="P14" s="28" t="s">
        <v>11</v>
      </c>
      <c r="Q14" s="28" t="s">
        <v>436</v>
      </c>
      <c r="R14" s="3"/>
      <c r="S14" s="6">
        <v>6</v>
      </c>
      <c r="T14" s="6" t="s">
        <v>14</v>
      </c>
      <c r="U14" s="7" t="s">
        <v>130</v>
      </c>
      <c r="V14" s="7">
        <v>2008</v>
      </c>
      <c r="W14" s="7" t="s">
        <v>128</v>
      </c>
      <c r="X14" s="7" t="s">
        <v>127</v>
      </c>
      <c r="Y14" s="7" t="s">
        <v>11</v>
      </c>
      <c r="Z14" s="7" t="s">
        <v>95</v>
      </c>
      <c r="AA14" s="3"/>
    </row>
    <row r="15" spans="1:27" x14ac:dyDescent="0.2">
      <c r="A15" s="6">
        <v>3</v>
      </c>
      <c r="B15" s="6" t="s">
        <v>12</v>
      </c>
      <c r="C15" s="7" t="s">
        <v>7</v>
      </c>
      <c r="D15" s="7">
        <v>2011</v>
      </c>
      <c r="E15" s="7" t="s">
        <v>128</v>
      </c>
      <c r="F15" s="7" t="s">
        <v>127</v>
      </c>
      <c r="G15" s="7" t="s">
        <v>11</v>
      </c>
      <c r="H15" s="7" t="s">
        <v>12</v>
      </c>
      <c r="I15" s="3"/>
      <c r="J15" s="27">
        <v>182</v>
      </c>
      <c r="K15" s="27" t="s">
        <v>172</v>
      </c>
      <c r="L15" s="28" t="s">
        <v>167</v>
      </c>
      <c r="M15" s="28">
        <v>2018</v>
      </c>
      <c r="N15" s="28" t="s">
        <v>128</v>
      </c>
      <c r="O15" s="28" t="s">
        <v>127</v>
      </c>
      <c r="P15" s="28" t="s">
        <v>407</v>
      </c>
      <c r="Q15" s="28" t="s">
        <v>409</v>
      </c>
      <c r="R15" s="3"/>
      <c r="S15" s="14">
        <v>69</v>
      </c>
      <c r="T15" s="14" t="s">
        <v>393</v>
      </c>
      <c r="U15" s="20" t="s">
        <v>130</v>
      </c>
      <c r="V15" s="20">
        <v>2017</v>
      </c>
      <c r="W15" s="20" t="s">
        <v>128</v>
      </c>
      <c r="X15" s="20" t="s">
        <v>127</v>
      </c>
      <c r="Y15" s="20" t="s">
        <v>192</v>
      </c>
      <c r="Z15" s="20" t="s">
        <v>114</v>
      </c>
      <c r="AA15" s="3"/>
    </row>
    <row r="16" spans="1:27" x14ac:dyDescent="0.2">
      <c r="A16" s="6">
        <v>4</v>
      </c>
      <c r="B16" s="6" t="s">
        <v>13</v>
      </c>
      <c r="C16" s="7" t="s">
        <v>7</v>
      </c>
      <c r="D16" s="7">
        <v>2018</v>
      </c>
      <c r="E16" s="7" t="s">
        <v>128</v>
      </c>
      <c r="F16" s="7" t="s">
        <v>127</v>
      </c>
      <c r="G16" s="7" t="s">
        <v>129</v>
      </c>
      <c r="H16" s="7" t="s">
        <v>94</v>
      </c>
      <c r="I16" s="3"/>
      <c r="J16" s="14">
        <v>183</v>
      </c>
      <c r="K16" s="14" t="s">
        <v>172</v>
      </c>
      <c r="L16" s="20" t="s">
        <v>167</v>
      </c>
      <c r="M16" s="20">
        <v>2020</v>
      </c>
      <c r="N16" s="20" t="s">
        <v>128</v>
      </c>
      <c r="O16" s="20" t="s">
        <v>127</v>
      </c>
      <c r="P16" s="20" t="s">
        <v>408</v>
      </c>
      <c r="Q16" s="20" t="s">
        <v>409</v>
      </c>
      <c r="R16" s="3"/>
      <c r="S16" s="27">
        <v>181</v>
      </c>
      <c r="T16" s="27" t="s">
        <v>378</v>
      </c>
      <c r="U16" s="28" t="s">
        <v>130</v>
      </c>
      <c r="V16" s="28">
        <v>2023</v>
      </c>
      <c r="W16" s="28" t="s">
        <v>128</v>
      </c>
      <c r="X16" s="28" t="s">
        <v>127</v>
      </c>
      <c r="Y16" s="28" t="s">
        <v>406</v>
      </c>
      <c r="Z16" s="28" t="s">
        <v>100</v>
      </c>
      <c r="AA16" s="3"/>
    </row>
    <row r="17" spans="1:27" x14ac:dyDescent="0.2">
      <c r="A17" s="6">
        <v>5</v>
      </c>
      <c r="B17" s="6" t="s">
        <v>13</v>
      </c>
      <c r="C17" s="7" t="s">
        <v>7</v>
      </c>
      <c r="D17" s="7">
        <v>2012</v>
      </c>
      <c r="E17" s="7" t="s">
        <v>128</v>
      </c>
      <c r="F17" s="7" t="s">
        <v>127</v>
      </c>
      <c r="G17" s="7" t="s">
        <v>11</v>
      </c>
      <c r="H17" s="7" t="s">
        <v>94</v>
      </c>
      <c r="I17" s="3"/>
      <c r="J17" s="27">
        <v>184</v>
      </c>
      <c r="K17" s="27" t="s">
        <v>172</v>
      </c>
      <c r="L17" s="28" t="s">
        <v>167</v>
      </c>
      <c r="M17" s="28">
        <v>2023</v>
      </c>
      <c r="N17" s="28" t="s">
        <v>128</v>
      </c>
      <c r="O17" s="28" t="s">
        <v>127</v>
      </c>
      <c r="P17" s="28" t="s">
        <v>11</v>
      </c>
      <c r="Q17" s="28" t="s">
        <v>97</v>
      </c>
      <c r="R17" s="3"/>
      <c r="S17" s="27">
        <v>217</v>
      </c>
      <c r="T17" s="27" t="s">
        <v>393</v>
      </c>
      <c r="U17" s="28" t="s">
        <v>130</v>
      </c>
      <c r="V17" s="28">
        <v>2022</v>
      </c>
      <c r="W17" s="28" t="s">
        <v>128</v>
      </c>
      <c r="X17" s="28" t="s">
        <v>127</v>
      </c>
      <c r="Y17" s="28" t="s">
        <v>426</v>
      </c>
      <c r="Z17" s="28" t="s">
        <v>446</v>
      </c>
      <c r="AA17" s="3"/>
    </row>
    <row r="18" spans="1:27" x14ac:dyDescent="0.2">
      <c r="A18" s="6">
        <v>8</v>
      </c>
      <c r="B18" s="6" t="s">
        <v>16</v>
      </c>
      <c r="C18" s="7" t="s">
        <v>7</v>
      </c>
      <c r="D18" s="7">
        <v>2004</v>
      </c>
      <c r="E18" s="7" t="s">
        <v>128</v>
      </c>
      <c r="F18" s="7" t="s">
        <v>127</v>
      </c>
      <c r="G18" s="7" t="s">
        <v>11</v>
      </c>
      <c r="H18" s="7" t="s">
        <v>94</v>
      </c>
      <c r="I18" s="3"/>
      <c r="J18" s="27">
        <v>187</v>
      </c>
      <c r="K18" s="27" t="s">
        <v>379</v>
      </c>
      <c r="L18" s="28" t="s">
        <v>167</v>
      </c>
      <c r="M18" s="28">
        <v>2012</v>
      </c>
      <c r="N18" s="28" t="s">
        <v>128</v>
      </c>
      <c r="O18" s="28" t="s">
        <v>127</v>
      </c>
      <c r="P18" s="28" t="s">
        <v>11</v>
      </c>
      <c r="Q18" s="28" t="s">
        <v>439</v>
      </c>
      <c r="R18" s="3"/>
      <c r="S18" s="27">
        <v>236</v>
      </c>
      <c r="T18" s="6" t="s">
        <v>400</v>
      </c>
      <c r="U18" s="7" t="s">
        <v>130</v>
      </c>
      <c r="V18" s="7">
        <v>2021</v>
      </c>
      <c r="W18" s="7" t="s">
        <v>128</v>
      </c>
      <c r="X18" s="7" t="s">
        <v>127</v>
      </c>
      <c r="Y18" s="7" t="s">
        <v>11</v>
      </c>
      <c r="Z18" s="7" t="s">
        <v>97</v>
      </c>
      <c r="AA18" s="3"/>
    </row>
    <row r="19" spans="1:27" x14ac:dyDescent="0.2">
      <c r="A19" s="6">
        <v>12</v>
      </c>
      <c r="B19" s="6" t="s">
        <v>20</v>
      </c>
      <c r="C19" s="7" t="s">
        <v>7</v>
      </c>
      <c r="D19" s="7">
        <v>1994</v>
      </c>
      <c r="E19" s="7" t="s">
        <v>128</v>
      </c>
      <c r="F19" s="7" t="s">
        <v>127</v>
      </c>
      <c r="G19" s="7" t="s">
        <v>11</v>
      </c>
      <c r="H19" s="7" t="s">
        <v>98</v>
      </c>
      <c r="I19" s="3"/>
      <c r="J19" s="27">
        <v>190</v>
      </c>
      <c r="K19" s="27" t="s">
        <v>380</v>
      </c>
      <c r="L19" s="28" t="s">
        <v>167</v>
      </c>
      <c r="M19" s="28">
        <v>2017</v>
      </c>
      <c r="N19" s="28" t="s">
        <v>128</v>
      </c>
      <c r="O19" s="28" t="s">
        <v>127</v>
      </c>
      <c r="P19" s="28" t="s">
        <v>11</v>
      </c>
      <c r="Q19" s="28" t="s">
        <v>441</v>
      </c>
      <c r="R19" s="3"/>
      <c r="S19" s="6">
        <v>264</v>
      </c>
      <c r="T19" s="6" t="s">
        <v>498</v>
      </c>
      <c r="U19" s="7" t="s">
        <v>130</v>
      </c>
      <c r="V19" s="7">
        <v>2022</v>
      </c>
      <c r="W19" s="7" t="s">
        <v>128</v>
      </c>
      <c r="X19" s="7" t="s">
        <v>127</v>
      </c>
      <c r="Y19" s="7" t="s">
        <v>499</v>
      </c>
      <c r="Z19" s="7" t="s">
        <v>500</v>
      </c>
      <c r="AA19" s="3"/>
    </row>
    <row r="20" spans="1:27" x14ac:dyDescent="0.2">
      <c r="A20" s="6">
        <v>13</v>
      </c>
      <c r="B20" s="6" t="s">
        <v>20</v>
      </c>
      <c r="C20" s="7" t="s">
        <v>7</v>
      </c>
      <c r="D20" s="7">
        <v>1997</v>
      </c>
      <c r="E20" s="7" t="s">
        <v>128</v>
      </c>
      <c r="F20" s="7" t="s">
        <v>127</v>
      </c>
      <c r="G20" s="7" t="s">
        <v>11</v>
      </c>
      <c r="H20" s="7" t="s">
        <v>98</v>
      </c>
      <c r="I20" s="3"/>
      <c r="J20" s="27">
        <v>193</v>
      </c>
      <c r="K20" s="27" t="s">
        <v>360</v>
      </c>
      <c r="L20" s="28" t="s">
        <v>167</v>
      </c>
      <c r="M20" s="28">
        <v>2006</v>
      </c>
      <c r="N20" s="28" t="s">
        <v>128</v>
      </c>
      <c r="O20" s="28" t="s">
        <v>127</v>
      </c>
      <c r="P20" s="28" t="s">
        <v>11</v>
      </c>
      <c r="Q20" s="28" t="s">
        <v>173</v>
      </c>
      <c r="R20" s="3"/>
      <c r="S20" s="14">
        <v>288</v>
      </c>
      <c r="T20" s="14" t="s">
        <v>541</v>
      </c>
      <c r="U20" s="20" t="s">
        <v>130</v>
      </c>
      <c r="V20" s="20">
        <v>2018</v>
      </c>
      <c r="W20" s="20" t="s">
        <v>128</v>
      </c>
      <c r="X20" s="20" t="s">
        <v>127</v>
      </c>
      <c r="Y20" s="20" t="s">
        <v>542</v>
      </c>
      <c r="Z20" s="20" t="s">
        <v>500</v>
      </c>
      <c r="AA20" s="3"/>
    </row>
    <row r="21" spans="1:27" x14ac:dyDescent="0.2">
      <c r="A21" s="6">
        <v>14</v>
      </c>
      <c r="B21" s="6" t="s">
        <v>20</v>
      </c>
      <c r="C21" s="7" t="s">
        <v>7</v>
      </c>
      <c r="D21" s="7">
        <v>1999</v>
      </c>
      <c r="E21" s="7" t="s">
        <v>128</v>
      </c>
      <c r="F21" s="7" t="s">
        <v>127</v>
      </c>
      <c r="G21" s="7" t="s">
        <v>11</v>
      </c>
      <c r="H21" s="7" t="s">
        <v>98</v>
      </c>
      <c r="I21" s="3"/>
      <c r="J21" s="27">
        <v>201</v>
      </c>
      <c r="K21" s="6" t="s">
        <v>385</v>
      </c>
      <c r="L21" s="7" t="s">
        <v>167</v>
      </c>
      <c r="M21" s="7">
        <v>2011</v>
      </c>
      <c r="N21" s="7" t="s">
        <v>128</v>
      </c>
      <c r="O21" s="7" t="s">
        <v>127</v>
      </c>
      <c r="P21" s="7" t="s">
        <v>418</v>
      </c>
      <c r="Q21" s="7" t="s">
        <v>419</v>
      </c>
      <c r="R21" s="3"/>
      <c r="S21" s="6">
        <v>289</v>
      </c>
      <c r="T21" s="6" t="s">
        <v>543</v>
      </c>
      <c r="U21" s="7" t="s">
        <v>130</v>
      </c>
      <c r="V21" s="7">
        <v>2018</v>
      </c>
      <c r="W21" s="7" t="s">
        <v>128</v>
      </c>
      <c r="X21" s="7" t="s">
        <v>127</v>
      </c>
      <c r="Y21" s="7" t="s">
        <v>544</v>
      </c>
      <c r="Z21" s="7" t="s">
        <v>500</v>
      </c>
      <c r="AA21" s="3"/>
    </row>
    <row r="22" spans="1:27" x14ac:dyDescent="0.2">
      <c r="A22" s="6">
        <v>15</v>
      </c>
      <c r="B22" s="6" t="s">
        <v>20</v>
      </c>
      <c r="C22" s="7" t="s">
        <v>7</v>
      </c>
      <c r="D22" s="7">
        <v>1994</v>
      </c>
      <c r="E22" s="7" t="s">
        <v>128</v>
      </c>
      <c r="F22" s="7" t="s">
        <v>127</v>
      </c>
      <c r="G22" s="7" t="s">
        <v>11</v>
      </c>
      <c r="H22" s="7" t="s">
        <v>98</v>
      </c>
      <c r="I22" s="3"/>
      <c r="J22" s="27">
        <v>207</v>
      </c>
      <c r="K22" s="6" t="s">
        <v>390</v>
      </c>
      <c r="L22" s="7" t="s">
        <v>167</v>
      </c>
      <c r="M22" s="7">
        <v>2021</v>
      </c>
      <c r="N22" s="7" t="s">
        <v>128</v>
      </c>
      <c r="O22" s="7" t="s">
        <v>127</v>
      </c>
      <c r="P22" s="7" t="s">
        <v>420</v>
      </c>
      <c r="Q22" s="7" t="s">
        <v>419</v>
      </c>
      <c r="R22" s="3"/>
      <c r="S22" s="6">
        <v>297</v>
      </c>
      <c r="T22" s="6" t="s">
        <v>358</v>
      </c>
      <c r="U22" s="7" t="s">
        <v>130</v>
      </c>
      <c r="V22" s="7">
        <v>2024</v>
      </c>
      <c r="W22" s="7" t="s">
        <v>128</v>
      </c>
      <c r="X22" s="7" t="s">
        <v>127</v>
      </c>
      <c r="Y22" s="7" t="s">
        <v>359</v>
      </c>
      <c r="Z22" s="7" t="s">
        <v>351</v>
      </c>
      <c r="AA22" s="3"/>
    </row>
    <row r="23" spans="1:27" x14ac:dyDescent="0.2">
      <c r="A23" s="6">
        <v>16</v>
      </c>
      <c r="B23" s="6" t="s">
        <v>21</v>
      </c>
      <c r="C23" s="7" t="s">
        <v>7</v>
      </c>
      <c r="D23" s="7">
        <v>2002</v>
      </c>
      <c r="E23" s="7" t="s">
        <v>128</v>
      </c>
      <c r="F23" s="7" t="s">
        <v>127</v>
      </c>
      <c r="G23" s="7" t="s">
        <v>11</v>
      </c>
      <c r="H23" s="7" t="s">
        <v>94</v>
      </c>
      <c r="I23" s="3"/>
      <c r="J23" s="27">
        <v>208</v>
      </c>
      <c r="K23" s="6" t="s">
        <v>390</v>
      </c>
      <c r="L23" s="7" t="s">
        <v>167</v>
      </c>
      <c r="M23" s="7">
        <v>2023</v>
      </c>
      <c r="N23" s="7" t="s">
        <v>128</v>
      </c>
      <c r="O23" s="7" t="s">
        <v>127</v>
      </c>
      <c r="P23" s="7" t="s">
        <v>11</v>
      </c>
      <c r="Q23" s="7" t="s">
        <v>97</v>
      </c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">
      <c r="A24" s="6">
        <v>17</v>
      </c>
      <c r="B24" s="6" t="s">
        <v>21</v>
      </c>
      <c r="C24" s="7" t="s">
        <v>7</v>
      </c>
      <c r="D24" s="7">
        <v>2003</v>
      </c>
      <c r="E24" s="7" t="s">
        <v>128</v>
      </c>
      <c r="F24" s="7" t="s">
        <v>127</v>
      </c>
      <c r="G24" s="7" t="s">
        <v>11</v>
      </c>
      <c r="H24" s="7" t="s">
        <v>94</v>
      </c>
      <c r="I24" s="3"/>
      <c r="J24" s="27">
        <v>209</v>
      </c>
      <c r="K24" s="6" t="s">
        <v>372</v>
      </c>
      <c r="L24" s="7" t="s">
        <v>167</v>
      </c>
      <c r="M24" s="7">
        <v>2022</v>
      </c>
      <c r="N24" s="7" t="s">
        <v>128</v>
      </c>
      <c r="O24" s="7" t="s">
        <v>127</v>
      </c>
      <c r="P24" s="7" t="s">
        <v>421</v>
      </c>
      <c r="Q24" s="7" t="s">
        <v>444</v>
      </c>
      <c r="R24" s="3"/>
      <c r="S24" s="3">
        <f>COUNT(S14:S22)</f>
        <v>9</v>
      </c>
      <c r="T24" s="3"/>
      <c r="U24" s="3"/>
      <c r="V24" s="3"/>
      <c r="W24" s="3"/>
      <c r="X24" s="3"/>
      <c r="Y24" s="3"/>
      <c r="Z24" s="3"/>
      <c r="AA24" s="3"/>
    </row>
    <row r="25" spans="1:27" x14ac:dyDescent="0.2">
      <c r="A25" s="6">
        <v>22</v>
      </c>
      <c r="B25" s="6" t="s">
        <v>25</v>
      </c>
      <c r="C25" s="7" t="s">
        <v>7</v>
      </c>
      <c r="D25" s="7">
        <v>2017</v>
      </c>
      <c r="E25" s="7" t="s">
        <v>128</v>
      </c>
      <c r="F25" s="8" t="s">
        <v>127</v>
      </c>
      <c r="G25" s="8" t="s">
        <v>174</v>
      </c>
      <c r="H25" s="7" t="s">
        <v>100</v>
      </c>
      <c r="I25" s="3"/>
      <c r="J25" s="27">
        <v>223</v>
      </c>
      <c r="K25" s="6" t="s">
        <v>171</v>
      </c>
      <c r="L25" s="7" t="s">
        <v>167</v>
      </c>
      <c r="M25" s="7">
        <v>2022</v>
      </c>
      <c r="N25" s="7" t="s">
        <v>128</v>
      </c>
      <c r="O25" s="7" t="s">
        <v>127</v>
      </c>
      <c r="P25" s="7" t="s">
        <v>352</v>
      </c>
      <c r="Q25" s="7" t="s">
        <v>8</v>
      </c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2">
      <c r="A26" s="6">
        <v>23</v>
      </c>
      <c r="B26" s="6" t="s">
        <v>26</v>
      </c>
      <c r="C26" s="7" t="s">
        <v>7</v>
      </c>
      <c r="D26" s="7">
        <v>2015</v>
      </c>
      <c r="E26" s="7" t="s">
        <v>128</v>
      </c>
      <c r="F26" s="7" t="s">
        <v>127</v>
      </c>
      <c r="G26" s="7" t="s">
        <v>11</v>
      </c>
      <c r="H26" s="7" t="s">
        <v>101</v>
      </c>
      <c r="I26" s="3"/>
      <c r="J26" s="27">
        <v>228</v>
      </c>
      <c r="K26" s="6" t="s">
        <v>396</v>
      </c>
      <c r="L26" s="7" t="s">
        <v>167</v>
      </c>
      <c r="M26" s="7">
        <v>2014</v>
      </c>
      <c r="N26" s="7" t="s">
        <v>128</v>
      </c>
      <c r="O26" s="7" t="s">
        <v>127</v>
      </c>
      <c r="P26" s="7" t="s">
        <v>11</v>
      </c>
      <c r="Q26" s="8" t="s">
        <v>448</v>
      </c>
      <c r="R26" s="3"/>
      <c r="S26" s="38" t="s">
        <v>594</v>
      </c>
      <c r="T26" s="38"/>
      <c r="U26" s="38"/>
      <c r="V26" s="38"/>
      <c r="W26" s="38"/>
      <c r="X26" s="38"/>
      <c r="Y26" s="38"/>
      <c r="Z26" s="38"/>
      <c r="AA26" s="3"/>
    </row>
    <row r="27" spans="1:27" x14ac:dyDescent="0.2">
      <c r="A27" s="6">
        <v>24</v>
      </c>
      <c r="B27" s="6" t="s">
        <v>27</v>
      </c>
      <c r="C27" s="7" t="s">
        <v>7</v>
      </c>
      <c r="D27" s="7">
        <v>2009</v>
      </c>
      <c r="E27" s="7" t="s">
        <v>127</v>
      </c>
      <c r="F27" s="7" t="s">
        <v>127</v>
      </c>
      <c r="G27" s="7" t="s">
        <v>11</v>
      </c>
      <c r="H27" s="7" t="s">
        <v>102</v>
      </c>
      <c r="I27" s="3"/>
      <c r="J27" s="14">
        <v>234</v>
      </c>
      <c r="K27" s="14" t="s">
        <v>373</v>
      </c>
      <c r="L27" s="20" t="s">
        <v>167</v>
      </c>
      <c r="M27" s="20">
        <v>2018</v>
      </c>
      <c r="N27" s="20" t="s">
        <v>128</v>
      </c>
      <c r="O27" s="20" t="s">
        <v>127</v>
      </c>
      <c r="P27" s="20" t="s">
        <v>432</v>
      </c>
      <c r="Q27" s="20" t="s">
        <v>8</v>
      </c>
      <c r="R27" s="3"/>
      <c r="S27" s="39"/>
      <c r="T27" s="39"/>
      <c r="U27" s="39"/>
      <c r="V27" s="39"/>
      <c r="W27" s="39"/>
      <c r="X27" s="39"/>
      <c r="Y27" s="39"/>
      <c r="Z27" s="39"/>
      <c r="AA27" s="3"/>
    </row>
    <row r="28" spans="1:27" x14ac:dyDescent="0.2">
      <c r="A28" s="6">
        <v>25</v>
      </c>
      <c r="B28" s="6" t="s">
        <v>27</v>
      </c>
      <c r="C28" s="7" t="s">
        <v>7</v>
      </c>
      <c r="D28" s="7">
        <v>2011</v>
      </c>
      <c r="E28" s="7" t="s">
        <v>128</v>
      </c>
      <c r="F28" s="7" t="s">
        <v>127</v>
      </c>
      <c r="G28" s="7" t="s">
        <v>11</v>
      </c>
      <c r="H28" s="7" t="s">
        <v>103</v>
      </c>
      <c r="I28" s="3"/>
      <c r="J28" s="6">
        <v>260</v>
      </c>
      <c r="K28" s="6" t="s">
        <v>491</v>
      </c>
      <c r="L28" s="7" t="s">
        <v>167</v>
      </c>
      <c r="M28" s="7">
        <v>2024</v>
      </c>
      <c r="N28" s="7" t="s">
        <v>128</v>
      </c>
      <c r="O28" s="7" t="s">
        <v>127</v>
      </c>
      <c r="P28" s="7" t="s">
        <v>492</v>
      </c>
      <c r="Q28" s="7" t="s">
        <v>409</v>
      </c>
      <c r="R28" s="3"/>
      <c r="S28" s="33" t="s">
        <v>0</v>
      </c>
      <c r="T28" s="34" t="s">
        <v>5</v>
      </c>
      <c r="U28" s="35" t="s">
        <v>1</v>
      </c>
      <c r="V28" s="35" t="s">
        <v>2</v>
      </c>
      <c r="W28" s="35" t="s">
        <v>71</v>
      </c>
      <c r="X28" s="35" t="s">
        <v>126</v>
      </c>
      <c r="Y28" s="35" t="s">
        <v>3</v>
      </c>
      <c r="Z28" s="35" t="s">
        <v>4</v>
      </c>
      <c r="AA28" s="3"/>
    </row>
    <row r="29" spans="1:27" x14ac:dyDescent="0.2">
      <c r="A29" s="14">
        <v>26</v>
      </c>
      <c r="B29" s="14" t="s">
        <v>27</v>
      </c>
      <c r="C29" s="20" t="s">
        <v>7</v>
      </c>
      <c r="D29" s="20">
        <v>2016</v>
      </c>
      <c r="E29" s="20" t="s">
        <v>128</v>
      </c>
      <c r="F29" s="20" t="s">
        <v>127</v>
      </c>
      <c r="G29" s="20" t="s">
        <v>175</v>
      </c>
      <c r="H29" s="20" t="s">
        <v>94</v>
      </c>
      <c r="I29" s="3"/>
      <c r="J29" s="6">
        <v>261</v>
      </c>
      <c r="K29" s="6" t="s">
        <v>493</v>
      </c>
      <c r="L29" s="7" t="s">
        <v>167</v>
      </c>
      <c r="M29" s="7">
        <v>2024</v>
      </c>
      <c r="N29" s="7" t="s">
        <v>128</v>
      </c>
      <c r="O29" s="7" t="s">
        <v>127</v>
      </c>
      <c r="P29" s="7" t="s">
        <v>494</v>
      </c>
      <c r="Q29" s="7" t="s">
        <v>409</v>
      </c>
      <c r="R29" s="3"/>
      <c r="S29" s="27">
        <v>178</v>
      </c>
      <c r="T29" s="27" t="s">
        <v>375</v>
      </c>
      <c r="U29" s="28" t="s">
        <v>404</v>
      </c>
      <c r="V29" s="28">
        <v>2016</v>
      </c>
      <c r="W29" s="28" t="s">
        <v>128</v>
      </c>
      <c r="X29" s="28" t="s">
        <v>127</v>
      </c>
      <c r="Y29" s="28" t="s">
        <v>405</v>
      </c>
      <c r="Z29" s="28" t="s">
        <v>437</v>
      </c>
      <c r="AA29" s="3"/>
    </row>
    <row r="30" spans="1:27" x14ac:dyDescent="0.2">
      <c r="A30" s="6">
        <v>27</v>
      </c>
      <c r="B30" s="6" t="s">
        <v>27</v>
      </c>
      <c r="C30" s="7" t="s">
        <v>7</v>
      </c>
      <c r="D30" s="7">
        <v>2008</v>
      </c>
      <c r="E30" s="7" t="s">
        <v>128</v>
      </c>
      <c r="F30" s="7" t="s">
        <v>127</v>
      </c>
      <c r="G30" s="7" t="s">
        <v>11</v>
      </c>
      <c r="H30" s="7" t="s">
        <v>94</v>
      </c>
      <c r="I30" s="3"/>
      <c r="J30" s="6">
        <v>262</v>
      </c>
      <c r="K30" s="6" t="s">
        <v>495</v>
      </c>
      <c r="L30" s="7" t="s">
        <v>167</v>
      </c>
      <c r="M30" s="7">
        <v>2024</v>
      </c>
      <c r="N30" s="7" t="s">
        <v>128</v>
      </c>
      <c r="O30" s="7" t="s">
        <v>127</v>
      </c>
      <c r="P30" s="7" t="s">
        <v>496</v>
      </c>
      <c r="Q30" s="7" t="s">
        <v>409</v>
      </c>
      <c r="R30" s="3"/>
      <c r="S30" s="14">
        <v>192</v>
      </c>
      <c r="T30" s="14" t="s">
        <v>382</v>
      </c>
      <c r="U30" s="20" t="s">
        <v>404</v>
      </c>
      <c r="V30" s="20">
        <v>2012</v>
      </c>
      <c r="W30" s="20" t="s">
        <v>128</v>
      </c>
      <c r="X30" s="20" t="s">
        <v>127</v>
      </c>
      <c r="Y30" s="20" t="s">
        <v>11</v>
      </c>
      <c r="Z30" s="20" t="s">
        <v>442</v>
      </c>
      <c r="AA30" s="3"/>
    </row>
    <row r="31" spans="1:27" x14ac:dyDescent="0.2">
      <c r="A31" s="6">
        <v>28</v>
      </c>
      <c r="B31" s="6" t="s">
        <v>27</v>
      </c>
      <c r="C31" s="7" t="s">
        <v>7</v>
      </c>
      <c r="D31" s="7">
        <v>2009</v>
      </c>
      <c r="E31" s="7" t="s">
        <v>128</v>
      </c>
      <c r="F31" s="7" t="s">
        <v>127</v>
      </c>
      <c r="G31" s="7" t="s">
        <v>176</v>
      </c>
      <c r="H31" s="7" t="s">
        <v>8</v>
      </c>
      <c r="I31" s="3"/>
      <c r="J31" s="6">
        <v>269</v>
      </c>
      <c r="K31" s="6" t="s">
        <v>372</v>
      </c>
      <c r="L31" s="7" t="s">
        <v>167</v>
      </c>
      <c r="M31" s="7">
        <v>2023</v>
      </c>
      <c r="N31" s="7" t="s">
        <v>128</v>
      </c>
      <c r="O31" s="7" t="s">
        <v>127</v>
      </c>
      <c r="P31" s="7" t="s">
        <v>507</v>
      </c>
      <c r="Q31" s="7" t="s">
        <v>409</v>
      </c>
      <c r="R31" s="3"/>
      <c r="S31" s="27">
        <v>199</v>
      </c>
      <c r="T31" s="6" t="s">
        <v>384</v>
      </c>
      <c r="U31" s="7" t="s">
        <v>417</v>
      </c>
      <c r="V31" s="7">
        <v>2008</v>
      </c>
      <c r="W31" s="7" t="s">
        <v>128</v>
      </c>
      <c r="X31" s="7" t="s">
        <v>127</v>
      </c>
      <c r="Y31" s="7" t="s">
        <v>416</v>
      </c>
      <c r="Z31" s="7" t="s">
        <v>413</v>
      </c>
      <c r="AA31" s="3"/>
    </row>
    <row r="32" spans="1:27" x14ac:dyDescent="0.2">
      <c r="A32" s="6">
        <v>33</v>
      </c>
      <c r="B32" s="6" t="s">
        <v>30</v>
      </c>
      <c r="C32" s="7" t="s">
        <v>7</v>
      </c>
      <c r="D32" s="7">
        <v>2018</v>
      </c>
      <c r="E32" s="7" t="s">
        <v>128</v>
      </c>
      <c r="F32" s="7" t="s">
        <v>127</v>
      </c>
      <c r="G32" s="7" t="s">
        <v>180</v>
      </c>
      <c r="H32" s="7" t="s">
        <v>107</v>
      </c>
      <c r="I32" s="3"/>
      <c r="J32" s="6">
        <v>270</v>
      </c>
      <c r="K32" s="6" t="s">
        <v>508</v>
      </c>
      <c r="L32" s="7" t="s">
        <v>167</v>
      </c>
      <c r="M32" s="7">
        <v>2023</v>
      </c>
      <c r="N32" s="7" t="s">
        <v>128</v>
      </c>
      <c r="O32" s="7" t="s">
        <v>127</v>
      </c>
      <c r="P32" s="7" t="s">
        <v>509</v>
      </c>
      <c r="Q32" s="7" t="s">
        <v>409</v>
      </c>
      <c r="R32" s="3"/>
      <c r="S32" s="27">
        <v>221</v>
      </c>
      <c r="T32" s="6" t="s">
        <v>394</v>
      </c>
      <c r="U32" s="7" t="s">
        <v>427</v>
      </c>
      <c r="V32" s="7">
        <v>2011</v>
      </c>
      <c r="W32" s="7" t="s">
        <v>128</v>
      </c>
      <c r="X32" s="7" t="s">
        <v>127</v>
      </c>
      <c r="Y32" s="7" t="s">
        <v>11</v>
      </c>
      <c r="Z32" s="7" t="s">
        <v>447</v>
      </c>
      <c r="AA32" s="3"/>
    </row>
    <row r="33" spans="1:27" x14ac:dyDescent="0.2">
      <c r="A33" s="6">
        <v>37</v>
      </c>
      <c r="B33" s="6" t="s">
        <v>34</v>
      </c>
      <c r="C33" s="7" t="s">
        <v>7</v>
      </c>
      <c r="D33" s="7">
        <v>2013</v>
      </c>
      <c r="E33" s="7" t="s">
        <v>128</v>
      </c>
      <c r="F33" s="7" t="s">
        <v>127</v>
      </c>
      <c r="G33" s="7" t="s">
        <v>11</v>
      </c>
      <c r="H33" s="7" t="s">
        <v>103</v>
      </c>
      <c r="I33" s="3"/>
      <c r="J33" s="6">
        <v>283</v>
      </c>
      <c r="K33" s="6" t="s">
        <v>530</v>
      </c>
      <c r="L33" s="7" t="s">
        <v>167</v>
      </c>
      <c r="M33" s="7">
        <v>2022</v>
      </c>
      <c r="N33" s="7" t="s">
        <v>128</v>
      </c>
      <c r="O33" s="7" t="s">
        <v>127</v>
      </c>
      <c r="P33" s="7" t="s">
        <v>531</v>
      </c>
      <c r="Q33" s="7" t="s">
        <v>409</v>
      </c>
      <c r="R33" s="3"/>
      <c r="S33" s="27">
        <v>239</v>
      </c>
      <c r="T33" s="6" t="s">
        <v>403</v>
      </c>
      <c r="U33" s="7" t="s">
        <v>404</v>
      </c>
      <c r="V33" s="7">
        <v>2018</v>
      </c>
      <c r="W33" s="7" t="s">
        <v>128</v>
      </c>
      <c r="X33" s="7" t="s">
        <v>127</v>
      </c>
      <c r="Y33" s="7" t="s">
        <v>11</v>
      </c>
      <c r="Z33" s="7" t="s">
        <v>435</v>
      </c>
      <c r="AA33" s="3"/>
    </row>
    <row r="34" spans="1:27" x14ac:dyDescent="0.2">
      <c r="A34" s="6">
        <v>38</v>
      </c>
      <c r="B34" s="6" t="s">
        <v>35</v>
      </c>
      <c r="C34" s="7" t="s">
        <v>7</v>
      </c>
      <c r="D34" s="7">
        <v>2005</v>
      </c>
      <c r="E34" s="7" t="s">
        <v>128</v>
      </c>
      <c r="F34" s="7" t="s">
        <v>127</v>
      </c>
      <c r="G34" s="7" t="s">
        <v>11</v>
      </c>
      <c r="H34" s="7" t="s">
        <v>94</v>
      </c>
      <c r="I34" s="3"/>
      <c r="J34" s="6">
        <v>284</v>
      </c>
      <c r="K34" s="6" t="s">
        <v>532</v>
      </c>
      <c r="L34" s="7" t="s">
        <v>167</v>
      </c>
      <c r="M34" s="7">
        <v>2022</v>
      </c>
      <c r="N34" s="7" t="s">
        <v>128</v>
      </c>
      <c r="O34" s="7" t="s">
        <v>127</v>
      </c>
      <c r="P34" s="7" t="s">
        <v>533</v>
      </c>
      <c r="Q34" s="7" t="s">
        <v>409</v>
      </c>
      <c r="R34" s="3"/>
      <c r="S34" s="14">
        <v>256</v>
      </c>
      <c r="T34" s="14" t="s">
        <v>159</v>
      </c>
      <c r="U34" s="20" t="s">
        <v>160</v>
      </c>
      <c r="V34" s="20">
        <v>2024</v>
      </c>
      <c r="W34" s="20" t="s">
        <v>128</v>
      </c>
      <c r="X34" s="20" t="s">
        <v>127</v>
      </c>
      <c r="Y34" s="20" t="s">
        <v>161</v>
      </c>
      <c r="Z34" s="20" t="s">
        <v>94</v>
      </c>
      <c r="AA34" s="3"/>
    </row>
    <row r="35" spans="1:27" x14ac:dyDescent="0.2">
      <c r="A35" s="6">
        <v>39</v>
      </c>
      <c r="B35" s="6" t="s">
        <v>36</v>
      </c>
      <c r="C35" s="7" t="s">
        <v>7</v>
      </c>
      <c r="D35" s="7">
        <v>2006</v>
      </c>
      <c r="E35" s="7" t="s">
        <v>128</v>
      </c>
      <c r="F35" s="7" t="s">
        <v>127</v>
      </c>
      <c r="G35" s="7" t="s">
        <v>11</v>
      </c>
      <c r="H35" s="7" t="s">
        <v>94</v>
      </c>
      <c r="I35" s="3"/>
      <c r="J35" s="6">
        <v>285</v>
      </c>
      <c r="K35" s="6" t="s">
        <v>534</v>
      </c>
      <c r="L35" s="7" t="s">
        <v>167</v>
      </c>
      <c r="M35" s="7">
        <v>2022</v>
      </c>
      <c r="N35" s="7" t="s">
        <v>128</v>
      </c>
      <c r="O35" s="7" t="s">
        <v>127</v>
      </c>
      <c r="P35" s="7" t="s">
        <v>535</v>
      </c>
      <c r="Q35" s="7" t="s">
        <v>409</v>
      </c>
      <c r="R35" s="3"/>
      <c r="S35" s="6">
        <v>268</v>
      </c>
      <c r="T35" s="6" t="s">
        <v>505</v>
      </c>
      <c r="U35" s="7" t="s">
        <v>160</v>
      </c>
      <c r="V35" s="7">
        <v>2023</v>
      </c>
      <c r="W35" s="7" t="s">
        <v>128</v>
      </c>
      <c r="X35" s="7" t="s">
        <v>127</v>
      </c>
      <c r="Y35" s="7" t="s">
        <v>506</v>
      </c>
      <c r="Z35" s="7" t="s">
        <v>409</v>
      </c>
      <c r="AA35" s="3"/>
    </row>
    <row r="36" spans="1:27" x14ac:dyDescent="0.2">
      <c r="A36" s="6">
        <v>40</v>
      </c>
      <c r="B36" s="6" t="s">
        <v>37</v>
      </c>
      <c r="C36" s="7" t="s">
        <v>7</v>
      </c>
      <c r="D36" s="7">
        <v>2014</v>
      </c>
      <c r="E36" s="7" t="s">
        <v>128</v>
      </c>
      <c r="F36" s="7" t="s">
        <v>127</v>
      </c>
      <c r="G36" s="7" t="s">
        <v>11</v>
      </c>
      <c r="H36" s="7" t="s">
        <v>97</v>
      </c>
      <c r="I36" s="3"/>
      <c r="J36" s="6">
        <v>286</v>
      </c>
      <c r="K36" s="6" t="s">
        <v>536</v>
      </c>
      <c r="L36" s="7" t="s">
        <v>167</v>
      </c>
      <c r="M36" s="7">
        <v>2022</v>
      </c>
      <c r="N36" s="7" t="s">
        <v>128</v>
      </c>
      <c r="O36" s="7" t="s">
        <v>127</v>
      </c>
      <c r="P36" s="7" t="s">
        <v>537</v>
      </c>
      <c r="Q36" s="7" t="s">
        <v>409</v>
      </c>
      <c r="R36" s="3"/>
      <c r="S36" s="6">
        <v>272</v>
      </c>
      <c r="T36" s="6" t="s">
        <v>512</v>
      </c>
      <c r="U36" s="7" t="s">
        <v>513</v>
      </c>
      <c r="V36" s="7">
        <v>2022</v>
      </c>
      <c r="W36" s="7" t="s">
        <v>128</v>
      </c>
      <c r="X36" s="7" t="s">
        <v>127</v>
      </c>
      <c r="Y36" s="7" t="s">
        <v>514</v>
      </c>
      <c r="Z36" s="7" t="s">
        <v>114</v>
      </c>
      <c r="AA36" s="3"/>
    </row>
    <row r="37" spans="1:27" x14ac:dyDescent="0.2">
      <c r="A37" s="6">
        <v>42</v>
      </c>
      <c r="B37" s="6" t="s">
        <v>39</v>
      </c>
      <c r="C37" s="7" t="s">
        <v>7</v>
      </c>
      <c r="D37" s="7">
        <v>2011</v>
      </c>
      <c r="E37" s="7" t="s">
        <v>128</v>
      </c>
      <c r="F37" s="7" t="s">
        <v>127</v>
      </c>
      <c r="G37" s="7" t="s">
        <v>11</v>
      </c>
      <c r="H37" s="7" t="s">
        <v>97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6">
        <v>287</v>
      </c>
      <c r="T37" s="6" t="s">
        <v>538</v>
      </c>
      <c r="U37" s="7" t="s">
        <v>539</v>
      </c>
      <c r="V37" s="7">
        <v>2018</v>
      </c>
      <c r="W37" s="7" t="s">
        <v>128</v>
      </c>
      <c r="X37" s="7" t="s">
        <v>127</v>
      </c>
      <c r="Y37" s="7" t="s">
        <v>540</v>
      </c>
      <c r="Z37" s="7" t="s">
        <v>500</v>
      </c>
      <c r="AA37" s="3"/>
    </row>
    <row r="38" spans="1:27" x14ac:dyDescent="0.2">
      <c r="A38" s="6">
        <v>43</v>
      </c>
      <c r="B38" s="6" t="s">
        <v>40</v>
      </c>
      <c r="C38" s="7" t="s">
        <v>7</v>
      </c>
      <c r="D38" s="7">
        <v>2004</v>
      </c>
      <c r="E38" s="7" t="s">
        <v>128</v>
      </c>
      <c r="F38" s="7" t="s">
        <v>127</v>
      </c>
      <c r="G38" s="7" t="s">
        <v>11</v>
      </c>
      <c r="H38" s="7" t="s">
        <v>94</v>
      </c>
      <c r="I38" s="3"/>
      <c r="J38" s="3">
        <f>COUNT(J14:J36)</f>
        <v>23</v>
      </c>
      <c r="K38" s="2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2">
      <c r="A39" s="6">
        <v>46</v>
      </c>
      <c r="B39" s="6" t="s">
        <v>43</v>
      </c>
      <c r="C39" s="7" t="s">
        <v>7</v>
      </c>
      <c r="D39" s="7">
        <v>2018</v>
      </c>
      <c r="E39" s="7" t="s">
        <v>128</v>
      </c>
      <c r="F39" s="7" t="s">
        <v>127</v>
      </c>
      <c r="G39" s="7" t="s">
        <v>185</v>
      </c>
      <c r="H39" s="7" t="s">
        <v>94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>
        <f>COUNT(S29:S37)</f>
        <v>9</v>
      </c>
      <c r="T39" s="3"/>
      <c r="U39" s="3"/>
      <c r="V39" s="3"/>
      <c r="W39" s="3"/>
      <c r="X39" s="3"/>
      <c r="Y39" s="3"/>
      <c r="Z39" s="3"/>
      <c r="AA39" s="3"/>
    </row>
    <row r="40" spans="1:27" x14ac:dyDescent="0.2">
      <c r="A40" s="6">
        <v>47</v>
      </c>
      <c r="B40" s="6" t="s">
        <v>43</v>
      </c>
      <c r="C40" s="7" t="s">
        <v>7</v>
      </c>
      <c r="D40" s="7">
        <v>2019</v>
      </c>
      <c r="E40" s="7" t="s">
        <v>128</v>
      </c>
      <c r="F40" s="7" t="s">
        <v>127</v>
      </c>
      <c r="G40" s="7" t="s">
        <v>186</v>
      </c>
      <c r="H40" s="7" t="s">
        <v>108</v>
      </c>
      <c r="I40" s="3"/>
      <c r="J40" s="40" t="s">
        <v>591</v>
      </c>
      <c r="K40" s="40"/>
      <c r="L40" s="40"/>
      <c r="M40" s="40"/>
      <c r="N40" s="40"/>
      <c r="O40" s="40"/>
      <c r="P40" s="40"/>
      <c r="Q40" s="40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2">
      <c r="A41" s="6">
        <v>48</v>
      </c>
      <c r="B41" s="6" t="s">
        <v>43</v>
      </c>
      <c r="C41" s="7" t="s">
        <v>7</v>
      </c>
      <c r="D41" s="7">
        <v>2019</v>
      </c>
      <c r="E41" s="7" t="s">
        <v>128</v>
      </c>
      <c r="F41" s="7" t="s">
        <v>127</v>
      </c>
      <c r="G41" s="7" t="s">
        <v>11</v>
      </c>
      <c r="H41" s="7" t="s">
        <v>97</v>
      </c>
      <c r="I41" s="3"/>
      <c r="J41" s="40"/>
      <c r="K41" s="40"/>
      <c r="L41" s="40"/>
      <c r="M41" s="40"/>
      <c r="N41" s="40"/>
      <c r="O41" s="40"/>
      <c r="P41" s="40"/>
      <c r="Q41" s="40"/>
      <c r="R41" s="3"/>
      <c r="S41" s="40" t="s">
        <v>596</v>
      </c>
      <c r="T41" s="40"/>
      <c r="U41" s="40"/>
      <c r="V41" s="40"/>
      <c r="W41" s="40"/>
      <c r="X41" s="40"/>
      <c r="Y41" s="40"/>
      <c r="Z41" s="40"/>
      <c r="AA41" s="3"/>
    </row>
    <row r="42" spans="1:27" x14ac:dyDescent="0.2">
      <c r="A42" s="6">
        <v>49</v>
      </c>
      <c r="B42" s="6" t="s">
        <v>43</v>
      </c>
      <c r="C42" s="7" t="s">
        <v>7</v>
      </c>
      <c r="D42" s="7">
        <v>2018</v>
      </c>
      <c r="E42" s="7" t="s">
        <v>128</v>
      </c>
      <c r="F42" s="7" t="s">
        <v>127</v>
      </c>
      <c r="G42" s="7" t="s">
        <v>11</v>
      </c>
      <c r="H42" s="7" t="s">
        <v>97</v>
      </c>
      <c r="I42" s="3"/>
      <c r="J42" s="33" t="s">
        <v>0</v>
      </c>
      <c r="K42" s="34" t="s">
        <v>5</v>
      </c>
      <c r="L42" s="35" t="s">
        <v>1</v>
      </c>
      <c r="M42" s="35" t="s">
        <v>2</v>
      </c>
      <c r="N42" s="35" t="s">
        <v>71</v>
      </c>
      <c r="O42" s="35" t="s">
        <v>126</v>
      </c>
      <c r="P42" s="35" t="s">
        <v>3</v>
      </c>
      <c r="Q42" s="35" t="s">
        <v>4</v>
      </c>
      <c r="R42" s="3"/>
      <c r="S42" s="41"/>
      <c r="T42" s="41"/>
      <c r="U42" s="41"/>
      <c r="V42" s="41"/>
      <c r="W42" s="41"/>
      <c r="X42" s="41"/>
      <c r="Y42" s="41"/>
      <c r="Z42" s="41"/>
      <c r="AA42" s="3"/>
    </row>
    <row r="43" spans="1:27" x14ac:dyDescent="0.2">
      <c r="A43" s="6">
        <v>50</v>
      </c>
      <c r="B43" s="6" t="s">
        <v>43</v>
      </c>
      <c r="C43" s="7" t="s">
        <v>7</v>
      </c>
      <c r="D43" s="7">
        <v>2019</v>
      </c>
      <c r="E43" s="7" t="s">
        <v>128</v>
      </c>
      <c r="F43" s="7" t="s">
        <v>127</v>
      </c>
      <c r="G43" s="7" t="s">
        <v>11</v>
      </c>
      <c r="H43" s="7" t="s">
        <v>97</v>
      </c>
      <c r="I43" s="3"/>
      <c r="J43" s="6">
        <v>11</v>
      </c>
      <c r="K43" s="6" t="s">
        <v>19</v>
      </c>
      <c r="L43" s="7" t="s">
        <v>49</v>
      </c>
      <c r="M43" s="7">
        <v>2015</v>
      </c>
      <c r="N43" s="7" t="s">
        <v>128</v>
      </c>
      <c r="O43" s="7" t="s">
        <v>127</v>
      </c>
      <c r="P43" s="8" t="s">
        <v>11</v>
      </c>
      <c r="Q43" s="7" t="s">
        <v>97</v>
      </c>
      <c r="R43" s="3"/>
      <c r="S43" s="33" t="s">
        <v>0</v>
      </c>
      <c r="T43" s="34" t="s">
        <v>5</v>
      </c>
      <c r="U43" s="35" t="s">
        <v>1</v>
      </c>
      <c r="V43" s="35" t="s">
        <v>2</v>
      </c>
      <c r="W43" s="35" t="s">
        <v>71</v>
      </c>
      <c r="X43" s="35" t="s">
        <v>126</v>
      </c>
      <c r="Y43" s="35" t="s">
        <v>3</v>
      </c>
      <c r="Z43" s="35" t="s">
        <v>4</v>
      </c>
      <c r="AA43" s="3"/>
    </row>
    <row r="44" spans="1:27" x14ac:dyDescent="0.2">
      <c r="A44" s="6">
        <v>51</v>
      </c>
      <c r="B44" s="6" t="s">
        <v>43</v>
      </c>
      <c r="C44" s="7" t="s">
        <v>7</v>
      </c>
      <c r="D44" s="7">
        <v>2019</v>
      </c>
      <c r="E44" s="7" t="s">
        <v>128</v>
      </c>
      <c r="F44" s="7" t="s">
        <v>127</v>
      </c>
      <c r="G44" s="7" t="s">
        <v>187</v>
      </c>
      <c r="H44" s="7" t="s">
        <v>8</v>
      </c>
      <c r="I44" s="3"/>
      <c r="J44" s="6">
        <v>19</v>
      </c>
      <c r="K44" s="6" t="s">
        <v>23</v>
      </c>
      <c r="L44" s="7" t="s">
        <v>49</v>
      </c>
      <c r="M44" s="7">
        <v>2015</v>
      </c>
      <c r="N44" s="7" t="s">
        <v>128</v>
      </c>
      <c r="O44" s="7" t="s">
        <v>127</v>
      </c>
      <c r="P44" s="7" t="s">
        <v>11</v>
      </c>
      <c r="Q44" s="7" t="s">
        <v>97</v>
      </c>
      <c r="R44" s="3"/>
      <c r="S44" s="6">
        <v>32</v>
      </c>
      <c r="T44" s="6" t="s">
        <v>29</v>
      </c>
      <c r="U44" s="7" t="s">
        <v>49</v>
      </c>
      <c r="V44" s="7">
        <v>2015</v>
      </c>
      <c r="W44" s="7" t="s">
        <v>127</v>
      </c>
      <c r="X44" s="7" t="s">
        <v>127</v>
      </c>
      <c r="Y44" s="7" t="s">
        <v>179</v>
      </c>
      <c r="Z44" s="7" t="s">
        <v>106</v>
      </c>
      <c r="AA44" s="3"/>
    </row>
    <row r="45" spans="1:27" x14ac:dyDescent="0.2">
      <c r="A45" s="6">
        <v>52</v>
      </c>
      <c r="B45" s="6" t="s">
        <v>44</v>
      </c>
      <c r="C45" s="7" t="s">
        <v>7</v>
      </c>
      <c r="D45" s="7">
        <v>2000</v>
      </c>
      <c r="E45" s="7" t="s">
        <v>128</v>
      </c>
      <c r="F45" s="7" t="s">
        <v>127</v>
      </c>
      <c r="G45" s="7" t="s">
        <v>11</v>
      </c>
      <c r="H45" s="7" t="s">
        <v>109</v>
      </c>
      <c r="I45" s="3"/>
      <c r="J45" s="6">
        <v>29</v>
      </c>
      <c r="K45" s="6" t="s">
        <v>28</v>
      </c>
      <c r="L45" s="7" t="s">
        <v>49</v>
      </c>
      <c r="M45" s="7">
        <v>2016</v>
      </c>
      <c r="N45" s="7" t="s">
        <v>128</v>
      </c>
      <c r="O45" s="7" t="s">
        <v>127</v>
      </c>
      <c r="P45" s="7" t="s">
        <v>11</v>
      </c>
      <c r="Q45" s="7" t="s">
        <v>104</v>
      </c>
      <c r="R45" s="3"/>
      <c r="S45" s="14">
        <v>77</v>
      </c>
      <c r="T45" s="14" t="s">
        <v>58</v>
      </c>
      <c r="U45" s="20" t="s">
        <v>136</v>
      </c>
      <c r="V45" s="20">
        <v>2011</v>
      </c>
      <c r="W45" s="20" t="s">
        <v>127</v>
      </c>
      <c r="X45" s="20" t="s">
        <v>127</v>
      </c>
      <c r="Y45" s="20" t="s">
        <v>196</v>
      </c>
      <c r="Z45" s="20" t="s">
        <v>8</v>
      </c>
      <c r="AA45" s="3"/>
    </row>
    <row r="46" spans="1:27" x14ac:dyDescent="0.2">
      <c r="A46" s="6">
        <v>57</v>
      </c>
      <c r="B46" s="6" t="s">
        <v>49</v>
      </c>
      <c r="C46" s="7" t="s">
        <v>7</v>
      </c>
      <c r="D46" s="7">
        <v>2006</v>
      </c>
      <c r="E46" s="7" t="s">
        <v>128</v>
      </c>
      <c r="F46" s="7" t="s">
        <v>127</v>
      </c>
      <c r="G46" s="7" t="s">
        <v>11</v>
      </c>
      <c r="H46" s="7" t="s">
        <v>94</v>
      </c>
      <c r="I46" s="3"/>
      <c r="J46" s="6">
        <v>30</v>
      </c>
      <c r="K46" s="6" t="s">
        <v>28</v>
      </c>
      <c r="L46" s="7" t="s">
        <v>49</v>
      </c>
      <c r="M46" s="7">
        <v>2015</v>
      </c>
      <c r="N46" s="7" t="s">
        <v>128</v>
      </c>
      <c r="O46" s="7" t="s">
        <v>127</v>
      </c>
      <c r="P46" s="7" t="s">
        <v>177</v>
      </c>
      <c r="Q46" s="7" t="s">
        <v>94</v>
      </c>
      <c r="R46" s="3"/>
      <c r="S46" s="7">
        <v>191</v>
      </c>
      <c r="T46" s="7" t="s">
        <v>381</v>
      </c>
      <c r="U46" s="7" t="s">
        <v>411</v>
      </c>
      <c r="V46" s="7">
        <v>2023</v>
      </c>
      <c r="W46" s="7" t="s">
        <v>127</v>
      </c>
      <c r="X46" s="7" t="s">
        <v>127</v>
      </c>
      <c r="Y46" s="7" t="s">
        <v>587</v>
      </c>
      <c r="Z46" s="7" t="s">
        <v>588</v>
      </c>
      <c r="AA46" s="3"/>
    </row>
    <row r="47" spans="1:27" x14ac:dyDescent="0.2">
      <c r="A47" s="6">
        <v>61</v>
      </c>
      <c r="B47" s="6" t="s">
        <v>52</v>
      </c>
      <c r="C47" s="7" t="s">
        <v>7</v>
      </c>
      <c r="D47" s="7">
        <v>1996</v>
      </c>
      <c r="E47" s="7" t="s">
        <v>128</v>
      </c>
      <c r="F47" s="7" t="s">
        <v>127</v>
      </c>
      <c r="G47" s="7" t="s">
        <v>11</v>
      </c>
      <c r="H47" s="7" t="s">
        <v>98</v>
      </c>
      <c r="I47" s="3"/>
      <c r="J47" s="14">
        <v>36</v>
      </c>
      <c r="K47" s="14" t="s">
        <v>33</v>
      </c>
      <c r="L47" s="20" t="s">
        <v>49</v>
      </c>
      <c r="M47" s="20">
        <v>2016</v>
      </c>
      <c r="N47" s="20" t="s">
        <v>128</v>
      </c>
      <c r="O47" s="20" t="s">
        <v>127</v>
      </c>
      <c r="P47" s="20" t="s">
        <v>182</v>
      </c>
      <c r="Q47" s="20" t="s">
        <v>94</v>
      </c>
      <c r="R47" s="3"/>
      <c r="S47" s="27">
        <v>197</v>
      </c>
      <c r="T47" s="27" t="s">
        <v>369</v>
      </c>
      <c r="U47" s="7" t="s">
        <v>7</v>
      </c>
      <c r="V47" s="7">
        <v>2023</v>
      </c>
      <c r="W47" s="7" t="s">
        <v>127</v>
      </c>
      <c r="X47" s="7" t="s">
        <v>127</v>
      </c>
      <c r="Y47" s="7" t="s">
        <v>370</v>
      </c>
      <c r="Z47" s="28" t="s">
        <v>8</v>
      </c>
      <c r="AA47" s="3"/>
    </row>
    <row r="48" spans="1:27" x14ac:dyDescent="0.2">
      <c r="A48" s="6">
        <v>62</v>
      </c>
      <c r="B48" s="6" t="s">
        <v>53</v>
      </c>
      <c r="C48" s="7" t="s">
        <v>7</v>
      </c>
      <c r="D48" s="7">
        <v>2010</v>
      </c>
      <c r="E48" s="7" t="s">
        <v>128</v>
      </c>
      <c r="F48" s="7" t="s">
        <v>127</v>
      </c>
      <c r="G48" s="7" t="s">
        <v>11</v>
      </c>
      <c r="H48" s="7" t="s">
        <v>113</v>
      </c>
      <c r="I48" s="3"/>
      <c r="J48" s="6">
        <v>41</v>
      </c>
      <c r="K48" s="6" t="s">
        <v>38</v>
      </c>
      <c r="L48" s="7" t="s">
        <v>49</v>
      </c>
      <c r="M48" s="7">
        <v>2010</v>
      </c>
      <c r="N48" s="7" t="s">
        <v>128</v>
      </c>
      <c r="O48" s="7" t="s">
        <v>127</v>
      </c>
      <c r="P48" s="7" t="s">
        <v>183</v>
      </c>
      <c r="Q48" s="7" t="s">
        <v>8</v>
      </c>
      <c r="R48" s="3"/>
      <c r="S48" s="27">
        <v>203</v>
      </c>
      <c r="T48" s="6" t="s">
        <v>387</v>
      </c>
      <c r="U48" s="7" t="s">
        <v>130</v>
      </c>
      <c r="V48" s="7">
        <v>2021</v>
      </c>
      <c r="W48" s="7" t="s">
        <v>127</v>
      </c>
      <c r="X48" s="7" t="s">
        <v>127</v>
      </c>
      <c r="Y48" s="7" t="s">
        <v>11</v>
      </c>
      <c r="Z48" s="7" t="s">
        <v>425</v>
      </c>
      <c r="AA48" s="3"/>
    </row>
    <row r="49" spans="1:27" x14ac:dyDescent="0.2">
      <c r="A49" s="6">
        <v>63</v>
      </c>
      <c r="B49" s="6" t="s">
        <v>6</v>
      </c>
      <c r="C49" s="7" t="s">
        <v>7</v>
      </c>
      <c r="D49" s="7">
        <v>2000</v>
      </c>
      <c r="E49" s="7" t="s">
        <v>128</v>
      </c>
      <c r="F49" s="7" t="s">
        <v>127</v>
      </c>
      <c r="G49" s="7" t="s">
        <v>11</v>
      </c>
      <c r="H49" s="7" t="s">
        <v>109</v>
      </c>
      <c r="I49" s="3"/>
      <c r="J49" s="6">
        <v>45</v>
      </c>
      <c r="K49" s="6" t="s">
        <v>42</v>
      </c>
      <c r="L49" s="7" t="s">
        <v>49</v>
      </c>
      <c r="M49" s="7">
        <v>2016</v>
      </c>
      <c r="N49" s="7" t="s">
        <v>128</v>
      </c>
      <c r="O49" s="7" t="s">
        <v>127</v>
      </c>
      <c r="P49" s="7" t="s">
        <v>184</v>
      </c>
      <c r="Q49" s="7" t="s">
        <v>8</v>
      </c>
      <c r="R49" s="3"/>
      <c r="S49" s="27">
        <v>210</v>
      </c>
      <c r="T49" s="6" t="s">
        <v>372</v>
      </c>
      <c r="U49" s="7" t="s">
        <v>49</v>
      </c>
      <c r="V49" s="7">
        <v>2016</v>
      </c>
      <c r="W49" s="7" t="s">
        <v>127</v>
      </c>
      <c r="X49" s="7" t="s">
        <v>127</v>
      </c>
      <c r="Y49" s="7" t="s">
        <v>422</v>
      </c>
      <c r="Z49" s="7" t="s">
        <v>423</v>
      </c>
      <c r="AA49" s="3"/>
    </row>
    <row r="50" spans="1:27" x14ac:dyDescent="0.2">
      <c r="A50" s="6">
        <v>64</v>
      </c>
      <c r="B50" s="6" t="s">
        <v>6</v>
      </c>
      <c r="C50" s="7" t="s">
        <v>7</v>
      </c>
      <c r="D50" s="7">
        <v>2003</v>
      </c>
      <c r="E50" s="7" t="s">
        <v>128</v>
      </c>
      <c r="F50" s="7" t="s">
        <v>127</v>
      </c>
      <c r="G50" s="7" t="s">
        <v>11</v>
      </c>
      <c r="H50" s="7" t="s">
        <v>97</v>
      </c>
      <c r="I50" s="3"/>
      <c r="J50" s="6">
        <v>60</v>
      </c>
      <c r="K50" s="6" t="s">
        <v>51</v>
      </c>
      <c r="L50" s="7" t="s">
        <v>49</v>
      </c>
      <c r="M50" s="7">
        <v>2018</v>
      </c>
      <c r="N50" s="7" t="s">
        <v>128</v>
      </c>
      <c r="O50" s="7" t="s">
        <v>127</v>
      </c>
      <c r="P50" s="7" t="s">
        <v>11</v>
      </c>
      <c r="Q50" s="7" t="s">
        <v>97</v>
      </c>
      <c r="R50" s="3"/>
      <c r="S50" s="27">
        <v>218</v>
      </c>
      <c r="T50" s="6" t="s">
        <v>57</v>
      </c>
      <c r="U50" s="7" t="s">
        <v>49</v>
      </c>
      <c r="V50" s="7">
        <v>2022</v>
      </c>
      <c r="W50" s="7" t="s">
        <v>127</v>
      </c>
      <c r="X50" s="7" t="s">
        <v>127</v>
      </c>
      <c r="Y50" s="7" t="s">
        <v>11</v>
      </c>
      <c r="Z50" s="7" t="s">
        <v>97</v>
      </c>
      <c r="AA50" s="3"/>
    </row>
    <row r="51" spans="1:27" x14ac:dyDescent="0.2">
      <c r="A51" s="6">
        <v>65</v>
      </c>
      <c r="B51" s="6" t="s">
        <v>6</v>
      </c>
      <c r="C51" s="7" t="s">
        <v>7</v>
      </c>
      <c r="D51" s="7">
        <v>2015</v>
      </c>
      <c r="E51" s="7" t="s">
        <v>128</v>
      </c>
      <c r="F51" s="8" t="s">
        <v>127</v>
      </c>
      <c r="G51" s="8" t="s">
        <v>11</v>
      </c>
      <c r="H51" s="7" t="s">
        <v>101</v>
      </c>
      <c r="I51" s="3"/>
      <c r="J51" s="6">
        <v>73</v>
      </c>
      <c r="K51" s="6" t="s">
        <v>57</v>
      </c>
      <c r="L51" s="7" t="s">
        <v>49</v>
      </c>
      <c r="M51" s="7">
        <v>2013</v>
      </c>
      <c r="N51" s="7" t="s">
        <v>128</v>
      </c>
      <c r="O51" s="7" t="s">
        <v>127</v>
      </c>
      <c r="P51" s="7" t="s">
        <v>11</v>
      </c>
      <c r="Q51" s="7" t="s">
        <v>97</v>
      </c>
      <c r="R51" s="3"/>
      <c r="S51" s="6">
        <v>224</v>
      </c>
      <c r="T51" s="6" t="s">
        <v>169</v>
      </c>
      <c r="U51" s="7" t="s">
        <v>49</v>
      </c>
      <c r="V51" s="7">
        <v>2023</v>
      </c>
      <c r="W51" s="7" t="s">
        <v>127</v>
      </c>
      <c r="X51" s="7" t="s">
        <v>127</v>
      </c>
      <c r="Y51" s="7" t="s">
        <v>365</v>
      </c>
      <c r="Z51" s="7" t="s">
        <v>8</v>
      </c>
      <c r="AA51" s="3"/>
    </row>
    <row r="52" spans="1:27" x14ac:dyDescent="0.2">
      <c r="A52" s="6">
        <v>66</v>
      </c>
      <c r="B52" s="6" t="s">
        <v>6</v>
      </c>
      <c r="C52" s="7" t="s">
        <v>7</v>
      </c>
      <c r="D52" s="7">
        <v>2003</v>
      </c>
      <c r="E52" s="7" t="s">
        <v>128</v>
      </c>
      <c r="F52" s="7" t="s">
        <v>127</v>
      </c>
      <c r="G52" s="7" t="s">
        <v>11</v>
      </c>
      <c r="H52" s="7" t="s">
        <v>113</v>
      </c>
      <c r="I52" s="3"/>
      <c r="J52" s="6">
        <v>74</v>
      </c>
      <c r="K52" s="6" t="s">
        <v>57</v>
      </c>
      <c r="L52" s="7" t="s">
        <v>49</v>
      </c>
      <c r="M52" s="7">
        <v>2009</v>
      </c>
      <c r="N52" s="7" t="s">
        <v>128</v>
      </c>
      <c r="O52" s="7" t="s">
        <v>127</v>
      </c>
      <c r="P52" s="7" t="s">
        <v>11</v>
      </c>
      <c r="Q52" s="7" t="s">
        <v>97</v>
      </c>
      <c r="R52" s="3"/>
      <c r="S52" s="27">
        <v>226</v>
      </c>
      <c r="T52" s="6" t="s">
        <v>169</v>
      </c>
      <c r="U52" s="7" t="s">
        <v>49</v>
      </c>
      <c r="V52" s="7">
        <v>2022</v>
      </c>
      <c r="W52" s="7" t="s">
        <v>127</v>
      </c>
      <c r="X52" s="7" t="s">
        <v>127</v>
      </c>
      <c r="Y52" s="7" t="s">
        <v>364</v>
      </c>
      <c r="Z52" s="7" t="s">
        <v>8</v>
      </c>
      <c r="AA52" s="3"/>
    </row>
    <row r="53" spans="1:27" x14ac:dyDescent="0.2">
      <c r="A53" s="6">
        <v>67</v>
      </c>
      <c r="B53" s="6" t="s">
        <v>6</v>
      </c>
      <c r="C53" s="7" t="s">
        <v>7</v>
      </c>
      <c r="D53" s="7">
        <v>2015</v>
      </c>
      <c r="E53" s="7" t="s">
        <v>128</v>
      </c>
      <c r="F53" s="7" t="s">
        <v>127</v>
      </c>
      <c r="G53" s="7" t="s">
        <v>191</v>
      </c>
      <c r="H53" s="7" t="s">
        <v>94</v>
      </c>
      <c r="I53" s="3"/>
      <c r="J53" s="6">
        <v>83</v>
      </c>
      <c r="K53" s="6" t="s">
        <v>63</v>
      </c>
      <c r="L53" s="7" t="s">
        <v>49</v>
      </c>
      <c r="M53" s="7">
        <v>2018</v>
      </c>
      <c r="N53" s="7" t="s">
        <v>128</v>
      </c>
      <c r="O53" s="7" t="s">
        <v>127</v>
      </c>
      <c r="P53" s="7" t="s">
        <v>198</v>
      </c>
      <c r="Q53" s="7" t="s">
        <v>94</v>
      </c>
      <c r="R53" s="3"/>
      <c r="S53" s="27">
        <v>237</v>
      </c>
      <c r="T53" s="6" t="s">
        <v>401</v>
      </c>
      <c r="U53" s="7" t="s">
        <v>160</v>
      </c>
      <c r="V53" s="7">
        <v>2015</v>
      </c>
      <c r="W53" s="7" t="s">
        <v>127</v>
      </c>
      <c r="X53" s="7" t="s">
        <v>127</v>
      </c>
      <c r="Y53" s="7" t="s">
        <v>433</v>
      </c>
      <c r="Z53" s="7" t="s">
        <v>434</v>
      </c>
      <c r="AA53" s="3"/>
    </row>
    <row r="54" spans="1:27" x14ac:dyDescent="0.2">
      <c r="A54" s="6">
        <v>68</v>
      </c>
      <c r="B54" s="6" t="s">
        <v>6</v>
      </c>
      <c r="C54" s="7" t="s">
        <v>7</v>
      </c>
      <c r="D54" s="7">
        <v>2001</v>
      </c>
      <c r="E54" s="7" t="s">
        <v>128</v>
      </c>
      <c r="F54" s="7" t="s">
        <v>127</v>
      </c>
      <c r="G54" s="7" t="s">
        <v>11</v>
      </c>
      <c r="H54" s="7" t="s">
        <v>94</v>
      </c>
      <c r="I54" s="3"/>
      <c r="J54" s="6">
        <v>86</v>
      </c>
      <c r="K54" s="6" t="s">
        <v>66</v>
      </c>
      <c r="L54" s="7" t="s">
        <v>49</v>
      </c>
      <c r="M54" s="7">
        <v>2014</v>
      </c>
      <c r="N54" s="7" t="s">
        <v>128</v>
      </c>
      <c r="O54" s="7" t="s">
        <v>127</v>
      </c>
      <c r="P54" s="7" t="s">
        <v>199</v>
      </c>
      <c r="Q54" s="7" t="s">
        <v>8</v>
      </c>
      <c r="R54" s="3"/>
      <c r="S54" s="14">
        <v>258</v>
      </c>
      <c r="T54" s="14" t="s">
        <v>165</v>
      </c>
      <c r="U54" s="20" t="s">
        <v>164</v>
      </c>
      <c r="V54" s="20">
        <v>2024</v>
      </c>
      <c r="W54" s="20" t="s">
        <v>127</v>
      </c>
      <c r="X54" s="20" t="s">
        <v>127</v>
      </c>
      <c r="Y54" s="20" t="s">
        <v>166</v>
      </c>
      <c r="Z54" s="20" t="s">
        <v>94</v>
      </c>
      <c r="AA54" s="3"/>
    </row>
    <row r="55" spans="1:27" x14ac:dyDescent="0.2">
      <c r="A55" s="6">
        <v>70</v>
      </c>
      <c r="B55" s="6" t="s">
        <v>54</v>
      </c>
      <c r="C55" s="7" t="s">
        <v>7</v>
      </c>
      <c r="D55" s="7">
        <v>2015</v>
      </c>
      <c r="E55" s="7" t="s">
        <v>128</v>
      </c>
      <c r="F55" s="7" t="s">
        <v>127</v>
      </c>
      <c r="G55" s="7" t="s">
        <v>193</v>
      </c>
      <c r="H55" s="7" t="s">
        <v>94</v>
      </c>
      <c r="I55" s="3"/>
      <c r="J55" s="6">
        <v>87</v>
      </c>
      <c r="K55" s="6" t="s">
        <v>66</v>
      </c>
      <c r="L55" s="7" t="s">
        <v>49</v>
      </c>
      <c r="M55" s="7">
        <v>2016</v>
      </c>
      <c r="N55" s="7" t="s">
        <v>128</v>
      </c>
      <c r="O55" s="7" t="s">
        <v>127</v>
      </c>
      <c r="P55" s="7" t="s">
        <v>200</v>
      </c>
      <c r="Q55" s="7" t="s">
        <v>108</v>
      </c>
      <c r="R55" s="3"/>
      <c r="S55" s="6">
        <v>265</v>
      </c>
      <c r="T55" s="6" t="s">
        <v>28</v>
      </c>
      <c r="U55" s="7" t="s">
        <v>49</v>
      </c>
      <c r="V55" s="7">
        <v>2023</v>
      </c>
      <c r="W55" s="7" t="s">
        <v>127</v>
      </c>
      <c r="X55" s="7" t="s">
        <v>127</v>
      </c>
      <c r="Y55" s="7" t="s">
        <v>501</v>
      </c>
      <c r="Z55" s="7" t="s">
        <v>281</v>
      </c>
      <c r="AA55" s="3"/>
    </row>
    <row r="56" spans="1:27" x14ac:dyDescent="0.2">
      <c r="A56" s="6">
        <v>71</v>
      </c>
      <c r="B56" s="6" t="s">
        <v>55</v>
      </c>
      <c r="C56" s="7" t="s">
        <v>7</v>
      </c>
      <c r="D56" s="7">
        <v>2018</v>
      </c>
      <c r="E56" s="7" t="s">
        <v>128</v>
      </c>
      <c r="F56" s="7" t="s">
        <v>127</v>
      </c>
      <c r="G56" s="7" t="s">
        <v>194</v>
      </c>
      <c r="H56" s="7" t="s">
        <v>94</v>
      </c>
      <c r="I56" s="3"/>
      <c r="J56" s="14">
        <v>88</v>
      </c>
      <c r="K56" s="14" t="s">
        <v>66</v>
      </c>
      <c r="L56" s="20" t="s">
        <v>49</v>
      </c>
      <c r="M56" s="20">
        <v>2009</v>
      </c>
      <c r="N56" s="20" t="s">
        <v>128</v>
      </c>
      <c r="O56" s="20" t="s">
        <v>127</v>
      </c>
      <c r="P56" s="20" t="s">
        <v>11</v>
      </c>
      <c r="Q56" s="20" t="s">
        <v>94</v>
      </c>
      <c r="R56" s="3"/>
      <c r="S56" s="6">
        <v>267</v>
      </c>
      <c r="T56" s="6" t="s">
        <v>503</v>
      </c>
      <c r="U56" s="7" t="s">
        <v>7</v>
      </c>
      <c r="V56" s="7">
        <v>2023</v>
      </c>
      <c r="W56" s="7" t="s">
        <v>127</v>
      </c>
      <c r="X56" s="7" t="s">
        <v>127</v>
      </c>
      <c r="Y56" s="7" t="s">
        <v>504</v>
      </c>
      <c r="Z56" s="7" t="s">
        <v>571</v>
      </c>
      <c r="AA56" s="3"/>
    </row>
    <row r="57" spans="1:27" x14ac:dyDescent="0.2">
      <c r="A57" s="6">
        <v>78</v>
      </c>
      <c r="B57" s="6" t="s">
        <v>59</v>
      </c>
      <c r="C57" s="7" t="s">
        <v>7</v>
      </c>
      <c r="D57" s="7">
        <v>2013</v>
      </c>
      <c r="E57" s="7" t="s">
        <v>128</v>
      </c>
      <c r="F57" s="7" t="s">
        <v>127</v>
      </c>
      <c r="G57" s="7" t="s">
        <v>11</v>
      </c>
      <c r="H57" s="7" t="s">
        <v>97</v>
      </c>
      <c r="I57" s="3"/>
      <c r="J57" s="6">
        <v>90</v>
      </c>
      <c r="K57" s="6" t="s">
        <v>68</v>
      </c>
      <c r="L57" s="7" t="s">
        <v>49</v>
      </c>
      <c r="M57" s="7">
        <v>2014</v>
      </c>
      <c r="N57" s="7" t="s">
        <v>128</v>
      </c>
      <c r="O57" s="7" t="s">
        <v>127</v>
      </c>
      <c r="P57" s="7" t="s">
        <v>11</v>
      </c>
      <c r="Q57" s="7" t="s">
        <v>120</v>
      </c>
      <c r="R57" s="3"/>
      <c r="S57" s="6">
        <v>271</v>
      </c>
      <c r="T57" s="6" t="s">
        <v>510</v>
      </c>
      <c r="U57" s="7" t="s">
        <v>404</v>
      </c>
      <c r="V57" s="7">
        <v>2022</v>
      </c>
      <c r="W57" s="7" t="s">
        <v>127</v>
      </c>
      <c r="X57" s="7" t="s">
        <v>127</v>
      </c>
      <c r="Y57" s="7" t="s">
        <v>511</v>
      </c>
      <c r="Z57" s="7" t="s">
        <v>114</v>
      </c>
      <c r="AA57" s="3"/>
    </row>
    <row r="58" spans="1:27" x14ac:dyDescent="0.2">
      <c r="A58" s="6">
        <v>80</v>
      </c>
      <c r="B58" s="6" t="s">
        <v>60</v>
      </c>
      <c r="C58" s="7" t="s">
        <v>7</v>
      </c>
      <c r="D58" s="7">
        <v>2017</v>
      </c>
      <c r="E58" s="7" t="s">
        <v>128</v>
      </c>
      <c r="F58" s="7" t="s">
        <v>127</v>
      </c>
      <c r="G58" s="7" t="s">
        <v>197</v>
      </c>
      <c r="H58" s="7" t="s">
        <v>94</v>
      </c>
      <c r="I58" s="3"/>
      <c r="J58" s="6">
        <v>94</v>
      </c>
      <c r="K58" s="6" t="s">
        <v>73</v>
      </c>
      <c r="L58" s="7" t="s">
        <v>49</v>
      </c>
      <c r="M58" s="7">
        <v>2015</v>
      </c>
      <c r="N58" s="7" t="s">
        <v>128</v>
      </c>
      <c r="O58" s="7" t="s">
        <v>127</v>
      </c>
      <c r="P58" s="7" t="s">
        <v>201</v>
      </c>
      <c r="Q58" s="7" t="s">
        <v>94</v>
      </c>
      <c r="R58" s="3"/>
      <c r="S58" s="6">
        <v>273</v>
      </c>
      <c r="T58" s="6" t="s">
        <v>515</v>
      </c>
      <c r="U58" s="7" t="s">
        <v>516</v>
      </c>
      <c r="V58" s="7">
        <v>2020</v>
      </c>
      <c r="W58" s="7" t="s">
        <v>127</v>
      </c>
      <c r="X58" s="7" t="s">
        <v>127</v>
      </c>
      <c r="Y58" s="7" t="s">
        <v>517</v>
      </c>
      <c r="Z58" s="7" t="s">
        <v>500</v>
      </c>
      <c r="AA58" s="3"/>
    </row>
    <row r="59" spans="1:27" x14ac:dyDescent="0.2">
      <c r="A59" s="6">
        <v>81</v>
      </c>
      <c r="B59" s="6" t="s">
        <v>61</v>
      </c>
      <c r="C59" s="7" t="s">
        <v>7</v>
      </c>
      <c r="D59" s="7">
        <v>1995</v>
      </c>
      <c r="E59" s="7" t="s">
        <v>128</v>
      </c>
      <c r="F59" s="7" t="s">
        <v>127</v>
      </c>
      <c r="G59" s="7" t="s">
        <v>11</v>
      </c>
      <c r="H59" s="7" t="s">
        <v>98</v>
      </c>
      <c r="I59" s="3"/>
      <c r="J59" s="27">
        <v>116</v>
      </c>
      <c r="K59" s="27" t="s">
        <v>90</v>
      </c>
      <c r="L59" s="28" t="s">
        <v>49</v>
      </c>
      <c r="M59" s="28">
        <v>2017</v>
      </c>
      <c r="N59" s="28" t="s">
        <v>128</v>
      </c>
      <c r="O59" s="28" t="s">
        <v>127</v>
      </c>
      <c r="P59" s="28" t="s">
        <v>206</v>
      </c>
      <c r="Q59" s="28" t="s">
        <v>8</v>
      </c>
      <c r="R59" s="3"/>
      <c r="S59" s="6">
        <v>274</v>
      </c>
      <c r="T59" s="6" t="s">
        <v>518</v>
      </c>
      <c r="U59" s="7" t="s">
        <v>136</v>
      </c>
      <c r="V59" s="7">
        <v>2021</v>
      </c>
      <c r="W59" s="7" t="s">
        <v>127</v>
      </c>
      <c r="X59" s="7" t="s">
        <v>127</v>
      </c>
      <c r="Y59" s="7" t="s">
        <v>519</v>
      </c>
      <c r="Z59" s="7" t="s">
        <v>281</v>
      </c>
      <c r="AA59" s="3"/>
    </row>
    <row r="60" spans="1:27" x14ac:dyDescent="0.2">
      <c r="A60" s="6">
        <v>82</v>
      </c>
      <c r="B60" s="6" t="s">
        <v>62</v>
      </c>
      <c r="C60" s="7" t="s">
        <v>7</v>
      </c>
      <c r="D60" s="7">
        <v>2011</v>
      </c>
      <c r="E60" s="7" t="s">
        <v>128</v>
      </c>
      <c r="F60" s="7" t="s">
        <v>127</v>
      </c>
      <c r="G60" s="7" t="s">
        <v>11</v>
      </c>
      <c r="H60" s="7" t="s">
        <v>118</v>
      </c>
      <c r="I60" s="3"/>
      <c r="J60" s="6">
        <v>123</v>
      </c>
      <c r="K60" s="7" t="s">
        <v>262</v>
      </c>
      <c r="L60" s="7" t="s">
        <v>49</v>
      </c>
      <c r="M60" s="7">
        <v>2011</v>
      </c>
      <c r="N60" s="7" t="s">
        <v>128</v>
      </c>
      <c r="O60" s="7" t="s">
        <v>127</v>
      </c>
      <c r="P60" s="7" t="s">
        <v>11</v>
      </c>
      <c r="Q60" s="7" t="s">
        <v>279</v>
      </c>
      <c r="R60" s="3"/>
      <c r="S60" s="6">
        <v>317</v>
      </c>
      <c r="T60" s="6" t="s">
        <v>28</v>
      </c>
      <c r="U60" s="7" t="s">
        <v>49</v>
      </c>
      <c r="V60" s="7">
        <v>2019</v>
      </c>
      <c r="W60" s="7" t="s">
        <v>127</v>
      </c>
      <c r="X60" s="7" t="s">
        <v>127</v>
      </c>
      <c r="Y60" s="7" t="s">
        <v>366</v>
      </c>
      <c r="Z60" s="7" t="s">
        <v>351</v>
      </c>
      <c r="AA60" s="3"/>
    </row>
    <row r="61" spans="1:27" x14ac:dyDescent="0.2">
      <c r="A61" s="6">
        <v>84</v>
      </c>
      <c r="B61" s="6" t="s">
        <v>64</v>
      </c>
      <c r="C61" s="7" t="s">
        <v>7</v>
      </c>
      <c r="D61" s="7">
        <v>2007</v>
      </c>
      <c r="E61" s="7" t="s">
        <v>128</v>
      </c>
      <c r="F61" s="7" t="s">
        <v>127</v>
      </c>
      <c r="G61" s="7" t="s">
        <v>11</v>
      </c>
      <c r="H61" s="7" t="s">
        <v>99</v>
      </c>
      <c r="I61" s="3"/>
      <c r="J61" s="6">
        <v>124</v>
      </c>
      <c r="K61" s="7" t="s">
        <v>262</v>
      </c>
      <c r="L61" s="7" t="s">
        <v>49</v>
      </c>
      <c r="M61" s="7">
        <v>2012</v>
      </c>
      <c r="N61" s="7" t="s">
        <v>128</v>
      </c>
      <c r="O61" s="7" t="s">
        <v>127</v>
      </c>
      <c r="P61" s="7" t="s">
        <v>11</v>
      </c>
      <c r="Q61" s="7" t="s">
        <v>97</v>
      </c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2">
      <c r="A62" s="6">
        <v>91</v>
      </c>
      <c r="B62" s="6" t="s">
        <v>69</v>
      </c>
      <c r="C62" s="7" t="s">
        <v>7</v>
      </c>
      <c r="D62" s="7">
        <v>2008</v>
      </c>
      <c r="E62" s="7" t="s">
        <v>128</v>
      </c>
      <c r="F62" s="7" t="s">
        <v>127</v>
      </c>
      <c r="G62" s="7" t="s">
        <v>11</v>
      </c>
      <c r="H62" s="7" t="s">
        <v>94</v>
      </c>
      <c r="I62" s="3"/>
      <c r="J62" s="6">
        <v>131</v>
      </c>
      <c r="K62" s="7" t="s">
        <v>265</v>
      </c>
      <c r="L62" s="7" t="s">
        <v>49</v>
      </c>
      <c r="M62" s="7">
        <v>2006</v>
      </c>
      <c r="N62" s="7" t="s">
        <v>128</v>
      </c>
      <c r="O62" s="7" t="s">
        <v>127</v>
      </c>
      <c r="P62" s="7" t="s">
        <v>11</v>
      </c>
      <c r="Q62" s="7" t="s">
        <v>282</v>
      </c>
      <c r="R62" s="3"/>
      <c r="S62" s="3">
        <f>COUNT(S44:S60)</f>
        <v>17</v>
      </c>
      <c r="T62" s="3"/>
      <c r="U62" s="3"/>
      <c r="V62" s="3"/>
      <c r="W62" s="3"/>
      <c r="X62" s="3"/>
      <c r="Y62" s="3"/>
      <c r="Z62" s="3"/>
      <c r="AA62" s="3"/>
    </row>
    <row r="63" spans="1:27" x14ac:dyDescent="0.2">
      <c r="A63" s="6">
        <v>92</v>
      </c>
      <c r="B63" s="6" t="s">
        <v>70</v>
      </c>
      <c r="C63" s="7" t="s">
        <v>7</v>
      </c>
      <c r="D63" s="7">
        <v>2008</v>
      </c>
      <c r="E63" s="7" t="s">
        <v>128</v>
      </c>
      <c r="F63" s="7" t="s">
        <v>127</v>
      </c>
      <c r="G63" s="7" t="s">
        <v>11</v>
      </c>
      <c r="H63" s="7" t="s">
        <v>97</v>
      </c>
      <c r="I63" s="3"/>
      <c r="J63" s="6">
        <v>132</v>
      </c>
      <c r="K63" s="7" t="s">
        <v>38</v>
      </c>
      <c r="L63" s="7" t="s">
        <v>49</v>
      </c>
      <c r="M63" s="7">
        <v>2010</v>
      </c>
      <c r="N63" s="7" t="s">
        <v>128</v>
      </c>
      <c r="O63" s="7" t="s">
        <v>127</v>
      </c>
      <c r="P63" s="7" t="s">
        <v>11</v>
      </c>
      <c r="Q63" s="7" t="s">
        <v>283</v>
      </c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2">
      <c r="A64" s="6">
        <v>93</v>
      </c>
      <c r="B64" s="6" t="s">
        <v>72</v>
      </c>
      <c r="C64" s="7" t="s">
        <v>7</v>
      </c>
      <c r="D64" s="7">
        <v>2013</v>
      </c>
      <c r="E64" s="7" t="s">
        <v>128</v>
      </c>
      <c r="F64" s="7" t="s">
        <v>127</v>
      </c>
      <c r="G64" s="7" t="s">
        <v>11</v>
      </c>
      <c r="H64" s="7" t="s">
        <v>97</v>
      </c>
      <c r="I64" s="3"/>
      <c r="J64" s="6">
        <v>133</v>
      </c>
      <c r="K64" s="7" t="s">
        <v>38</v>
      </c>
      <c r="L64" s="7" t="s">
        <v>49</v>
      </c>
      <c r="M64" s="7">
        <v>2007</v>
      </c>
      <c r="N64" s="7" t="s">
        <v>128</v>
      </c>
      <c r="O64" s="7" t="s">
        <v>127</v>
      </c>
      <c r="P64" s="7" t="s">
        <v>11</v>
      </c>
      <c r="Q64" s="7" t="s">
        <v>284</v>
      </c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2">
      <c r="A65" s="6">
        <v>95</v>
      </c>
      <c r="B65" s="6" t="s">
        <v>74</v>
      </c>
      <c r="C65" s="7" t="s">
        <v>7</v>
      </c>
      <c r="D65" s="7">
        <v>1995</v>
      </c>
      <c r="E65" s="7" t="s">
        <v>128</v>
      </c>
      <c r="F65" s="7" t="s">
        <v>127</v>
      </c>
      <c r="G65" s="7" t="s">
        <v>11</v>
      </c>
      <c r="H65" s="7" t="s">
        <v>98</v>
      </c>
      <c r="I65" s="3"/>
      <c r="J65" s="6">
        <v>137</v>
      </c>
      <c r="K65" s="7" t="s">
        <v>42</v>
      </c>
      <c r="L65" s="7" t="s">
        <v>49</v>
      </c>
      <c r="M65" s="7">
        <v>2010</v>
      </c>
      <c r="N65" s="7" t="s">
        <v>128</v>
      </c>
      <c r="O65" s="7" t="s">
        <v>127</v>
      </c>
      <c r="P65" s="7" t="s">
        <v>298</v>
      </c>
      <c r="Q65" s="7" t="s">
        <v>282</v>
      </c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2">
      <c r="A66" s="6">
        <v>96</v>
      </c>
      <c r="B66" s="6" t="s">
        <v>75</v>
      </c>
      <c r="C66" s="7" t="s">
        <v>7</v>
      </c>
      <c r="D66" s="7">
        <v>2003</v>
      </c>
      <c r="E66" s="7" t="s">
        <v>128</v>
      </c>
      <c r="F66" s="7" t="s">
        <v>127</v>
      </c>
      <c r="G66" s="7" t="s">
        <v>11</v>
      </c>
      <c r="H66" s="7" t="s">
        <v>97</v>
      </c>
      <c r="I66" s="3"/>
      <c r="J66" s="6">
        <v>138</v>
      </c>
      <c r="K66" s="7" t="s">
        <v>42</v>
      </c>
      <c r="L66" s="7" t="s">
        <v>49</v>
      </c>
      <c r="M66" s="7">
        <v>2010</v>
      </c>
      <c r="N66" s="7" t="s">
        <v>128</v>
      </c>
      <c r="O66" s="7" t="s">
        <v>127</v>
      </c>
      <c r="P66" s="7" t="s">
        <v>301</v>
      </c>
      <c r="Q66" s="7" t="s">
        <v>285</v>
      </c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2">
      <c r="A67" s="6">
        <v>97</v>
      </c>
      <c r="B67" s="6" t="s">
        <v>76</v>
      </c>
      <c r="C67" s="7" t="s">
        <v>7</v>
      </c>
      <c r="D67" s="7">
        <v>2008</v>
      </c>
      <c r="E67" s="7" t="s">
        <v>128</v>
      </c>
      <c r="F67" s="7" t="s">
        <v>127</v>
      </c>
      <c r="G67" s="7" t="s">
        <v>11</v>
      </c>
      <c r="H67" s="7" t="s">
        <v>94</v>
      </c>
      <c r="I67" s="3"/>
      <c r="J67" s="6">
        <v>148</v>
      </c>
      <c r="K67" s="7" t="s">
        <v>269</v>
      </c>
      <c r="L67" s="7" t="s">
        <v>49</v>
      </c>
      <c r="M67" s="7">
        <v>2008</v>
      </c>
      <c r="N67" s="7" t="s">
        <v>128</v>
      </c>
      <c r="O67" s="7" t="s">
        <v>127</v>
      </c>
      <c r="P67" s="7" t="s">
        <v>11</v>
      </c>
      <c r="Q67" s="7" t="s">
        <v>279</v>
      </c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2">
      <c r="A68" s="6">
        <v>100</v>
      </c>
      <c r="B68" s="6" t="s">
        <v>78</v>
      </c>
      <c r="C68" s="7" t="s">
        <v>7</v>
      </c>
      <c r="D68" s="7">
        <v>2010</v>
      </c>
      <c r="E68" s="7" t="s">
        <v>128</v>
      </c>
      <c r="F68" s="7" t="s">
        <v>127</v>
      </c>
      <c r="G68" s="7" t="s">
        <v>11</v>
      </c>
      <c r="H68" s="7" t="s">
        <v>107</v>
      </c>
      <c r="I68" s="3"/>
      <c r="J68" s="6">
        <v>150</v>
      </c>
      <c r="K68" s="7" t="s">
        <v>57</v>
      </c>
      <c r="L68" s="7" t="s">
        <v>49</v>
      </c>
      <c r="M68" s="7">
        <v>2011</v>
      </c>
      <c r="N68" s="7" t="s">
        <v>128</v>
      </c>
      <c r="O68" s="7" t="s">
        <v>127</v>
      </c>
      <c r="P68" s="7" t="s">
        <v>293</v>
      </c>
      <c r="Q68" s="7" t="s">
        <v>288</v>
      </c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2">
      <c r="A69" s="6">
        <v>102</v>
      </c>
      <c r="B69" s="6" t="s">
        <v>80</v>
      </c>
      <c r="C69" s="7" t="s">
        <v>7</v>
      </c>
      <c r="D69" s="7">
        <v>2004</v>
      </c>
      <c r="E69" s="7" t="s">
        <v>128</v>
      </c>
      <c r="F69" s="7" t="s">
        <v>127</v>
      </c>
      <c r="G69" s="7" t="s">
        <v>11</v>
      </c>
      <c r="H69" s="7" t="s">
        <v>99</v>
      </c>
      <c r="I69" s="3"/>
      <c r="J69" s="6">
        <v>155</v>
      </c>
      <c r="K69" s="7" t="s">
        <v>66</v>
      </c>
      <c r="L69" s="7" t="s">
        <v>49</v>
      </c>
      <c r="M69" s="7">
        <v>2009</v>
      </c>
      <c r="N69" s="7" t="s">
        <v>128</v>
      </c>
      <c r="O69" s="7" t="s">
        <v>127</v>
      </c>
      <c r="P69" s="7" t="s">
        <v>299</v>
      </c>
      <c r="Q69" s="7" t="s">
        <v>282</v>
      </c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2">
      <c r="A70" s="14">
        <v>103</v>
      </c>
      <c r="B70" s="14" t="s">
        <v>81</v>
      </c>
      <c r="C70" s="20" t="s">
        <v>7</v>
      </c>
      <c r="D70" s="20">
        <v>2010</v>
      </c>
      <c r="E70" s="20" t="s">
        <v>128</v>
      </c>
      <c r="F70" s="20" t="s">
        <v>127</v>
      </c>
      <c r="G70" s="20" t="s">
        <v>362</v>
      </c>
      <c r="H70" s="20" t="s">
        <v>100</v>
      </c>
      <c r="I70" s="3"/>
      <c r="J70" s="27">
        <v>205</v>
      </c>
      <c r="K70" s="6" t="s">
        <v>389</v>
      </c>
      <c r="L70" s="7" t="s">
        <v>49</v>
      </c>
      <c r="M70" s="7">
        <v>2023</v>
      </c>
      <c r="N70" s="7" t="s">
        <v>128</v>
      </c>
      <c r="O70" s="7" t="s">
        <v>127</v>
      </c>
      <c r="P70" s="7" t="s">
        <v>11</v>
      </c>
      <c r="Q70" s="7" t="s">
        <v>443</v>
      </c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2">
      <c r="A71" s="6">
        <v>104</v>
      </c>
      <c r="B71" s="6" t="s">
        <v>81</v>
      </c>
      <c r="C71" s="7" t="s">
        <v>7</v>
      </c>
      <c r="D71" s="7">
        <v>2011</v>
      </c>
      <c r="E71" s="7" t="s">
        <v>128</v>
      </c>
      <c r="F71" s="7" t="s">
        <v>127</v>
      </c>
      <c r="G71" s="7" t="s">
        <v>204</v>
      </c>
      <c r="H71" s="7" t="s">
        <v>122</v>
      </c>
      <c r="I71" s="3"/>
      <c r="J71" s="27">
        <v>225</v>
      </c>
      <c r="K71" s="6" t="s">
        <v>169</v>
      </c>
      <c r="L71" s="7" t="s">
        <v>49</v>
      </c>
      <c r="M71" s="7">
        <v>2022</v>
      </c>
      <c r="N71" s="7" t="s">
        <v>128</v>
      </c>
      <c r="O71" s="7" t="s">
        <v>127</v>
      </c>
      <c r="P71" s="7" t="s">
        <v>11</v>
      </c>
      <c r="Q71" s="7" t="s">
        <v>11</v>
      </c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2">
      <c r="A72" s="6">
        <v>105</v>
      </c>
      <c r="B72" s="6" t="s">
        <v>82</v>
      </c>
      <c r="C72" s="7" t="s">
        <v>7</v>
      </c>
      <c r="D72" s="7">
        <v>2002</v>
      </c>
      <c r="E72" s="7" t="s">
        <v>128</v>
      </c>
      <c r="F72" s="7" t="s">
        <v>127</v>
      </c>
      <c r="G72" s="7" t="s">
        <v>11</v>
      </c>
      <c r="H72" s="7" t="s">
        <v>94</v>
      </c>
      <c r="I72" s="3"/>
      <c r="J72" s="27">
        <v>229</v>
      </c>
      <c r="K72" s="6" t="s">
        <v>397</v>
      </c>
      <c r="L72" s="7" t="s">
        <v>49</v>
      </c>
      <c r="M72" s="7">
        <v>2020</v>
      </c>
      <c r="N72" s="7" t="s">
        <v>128</v>
      </c>
      <c r="O72" s="7" t="s">
        <v>127</v>
      </c>
      <c r="P72" s="7" t="s">
        <v>428</v>
      </c>
      <c r="Q72" s="7" t="s">
        <v>429</v>
      </c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2">
      <c r="A73" s="6">
        <v>106</v>
      </c>
      <c r="B73" s="6" t="s">
        <v>82</v>
      </c>
      <c r="C73" s="7" t="s">
        <v>7</v>
      </c>
      <c r="D73" s="7">
        <v>2005</v>
      </c>
      <c r="E73" s="7" t="s">
        <v>128</v>
      </c>
      <c r="F73" s="7" t="s">
        <v>127</v>
      </c>
      <c r="G73" s="7" t="s">
        <v>11</v>
      </c>
      <c r="H73" s="7" t="s">
        <v>94</v>
      </c>
      <c r="I73" s="3"/>
      <c r="J73" s="27">
        <v>232</v>
      </c>
      <c r="K73" s="6" t="s">
        <v>399</v>
      </c>
      <c r="L73" s="7" t="s">
        <v>49</v>
      </c>
      <c r="M73" s="7">
        <v>2009</v>
      </c>
      <c r="N73" s="7" t="s">
        <v>128</v>
      </c>
      <c r="O73" s="7" t="s">
        <v>127</v>
      </c>
      <c r="P73" s="7" t="s">
        <v>430</v>
      </c>
      <c r="Q73" s="7" t="s">
        <v>431</v>
      </c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2">
      <c r="A74" s="6">
        <v>109</v>
      </c>
      <c r="B74" s="6" t="s">
        <v>84</v>
      </c>
      <c r="C74" s="7" t="s">
        <v>7</v>
      </c>
      <c r="D74" s="7">
        <v>2008</v>
      </c>
      <c r="E74" s="7" t="s">
        <v>128</v>
      </c>
      <c r="F74" s="7" t="s">
        <v>127</v>
      </c>
      <c r="G74" s="7" t="s">
        <v>11</v>
      </c>
      <c r="H74" s="7" t="s">
        <v>97</v>
      </c>
      <c r="I74" s="3"/>
      <c r="J74" s="6">
        <v>251</v>
      </c>
      <c r="K74" s="6" t="s">
        <v>150</v>
      </c>
      <c r="L74" s="7" t="s">
        <v>49</v>
      </c>
      <c r="M74" s="7">
        <v>2024</v>
      </c>
      <c r="N74" s="7" t="s">
        <v>128</v>
      </c>
      <c r="O74" s="7" t="s">
        <v>127</v>
      </c>
      <c r="P74" s="7" t="s">
        <v>149</v>
      </c>
      <c r="Q74" s="7" t="s">
        <v>571</v>
      </c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2">
      <c r="A75" s="6">
        <v>111</v>
      </c>
      <c r="B75" s="6" t="s">
        <v>86</v>
      </c>
      <c r="C75" s="7" t="s">
        <v>7</v>
      </c>
      <c r="D75" s="7">
        <v>2005</v>
      </c>
      <c r="E75" s="7" t="s">
        <v>128</v>
      </c>
      <c r="F75" s="7" t="s">
        <v>127</v>
      </c>
      <c r="G75" s="7" t="s">
        <v>11</v>
      </c>
      <c r="H75" s="7" t="s">
        <v>94</v>
      </c>
      <c r="I75" s="3"/>
      <c r="J75" s="6">
        <v>253</v>
      </c>
      <c r="K75" s="6" t="s">
        <v>57</v>
      </c>
      <c r="L75" s="7" t="s">
        <v>49</v>
      </c>
      <c r="M75" s="7">
        <v>2024</v>
      </c>
      <c r="N75" s="7" t="s">
        <v>128</v>
      </c>
      <c r="O75" s="7" t="s">
        <v>127</v>
      </c>
      <c r="P75" s="7" t="s">
        <v>155</v>
      </c>
      <c r="Q75" s="7" t="s">
        <v>571</v>
      </c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2">
      <c r="A76" s="6">
        <v>112</v>
      </c>
      <c r="B76" s="6" t="s">
        <v>87</v>
      </c>
      <c r="C76" s="7" t="s">
        <v>7</v>
      </c>
      <c r="D76" s="7">
        <v>2015</v>
      </c>
      <c r="E76" s="7" t="s">
        <v>128</v>
      </c>
      <c r="F76" s="7" t="s">
        <v>127</v>
      </c>
      <c r="G76" s="7" t="s">
        <v>11</v>
      </c>
      <c r="H76" s="7" t="s">
        <v>103</v>
      </c>
      <c r="I76" s="3"/>
      <c r="J76" s="6">
        <v>263</v>
      </c>
      <c r="K76" s="6" t="s">
        <v>169</v>
      </c>
      <c r="L76" s="7" t="s">
        <v>49</v>
      </c>
      <c r="M76" s="7">
        <v>2023</v>
      </c>
      <c r="N76" s="7" t="s">
        <v>128</v>
      </c>
      <c r="O76" s="7" t="s">
        <v>127</v>
      </c>
      <c r="P76" s="7" t="s">
        <v>497</v>
      </c>
      <c r="Q76" s="7" t="s">
        <v>114</v>
      </c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2">
      <c r="A77" s="6">
        <v>113</v>
      </c>
      <c r="B77" s="6" t="s">
        <v>88</v>
      </c>
      <c r="C77" s="7" t="s">
        <v>7</v>
      </c>
      <c r="D77" s="7">
        <v>2003</v>
      </c>
      <c r="E77" s="7" t="s">
        <v>128</v>
      </c>
      <c r="F77" s="7" t="s">
        <v>127</v>
      </c>
      <c r="G77" s="7" t="s">
        <v>11</v>
      </c>
      <c r="H77" s="7" t="s">
        <v>94</v>
      </c>
      <c r="I77" s="3"/>
      <c r="J77" s="6">
        <v>279</v>
      </c>
      <c r="K77" s="6" t="s">
        <v>524</v>
      </c>
      <c r="L77" s="7" t="s">
        <v>49</v>
      </c>
      <c r="M77" s="7">
        <v>2022</v>
      </c>
      <c r="N77" s="7" t="s">
        <v>128</v>
      </c>
      <c r="O77" s="7" t="s">
        <v>127</v>
      </c>
      <c r="P77" s="7" t="s">
        <v>525</v>
      </c>
      <c r="Q77" s="7" t="s">
        <v>571</v>
      </c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2">
      <c r="A78" s="6">
        <v>114</v>
      </c>
      <c r="B78" s="6" t="s">
        <v>88</v>
      </c>
      <c r="C78" s="7" t="s">
        <v>7</v>
      </c>
      <c r="D78" s="7">
        <v>2015</v>
      </c>
      <c r="E78" s="7" t="s">
        <v>128</v>
      </c>
      <c r="F78" s="7" t="s">
        <v>127</v>
      </c>
      <c r="G78" s="7" t="s">
        <v>11</v>
      </c>
      <c r="H78" s="7" t="s">
        <v>101</v>
      </c>
      <c r="I78" s="3"/>
      <c r="J78" s="6">
        <v>290</v>
      </c>
      <c r="K78" s="6" t="s">
        <v>28</v>
      </c>
      <c r="L78" s="7" t="s">
        <v>49</v>
      </c>
      <c r="M78" s="7">
        <v>2019</v>
      </c>
      <c r="N78" s="7" t="s">
        <v>128</v>
      </c>
      <c r="O78" s="7" t="s">
        <v>127</v>
      </c>
      <c r="P78" s="7" t="s">
        <v>545</v>
      </c>
      <c r="Q78" s="7" t="s">
        <v>281</v>
      </c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2">
      <c r="A79" s="6">
        <v>115</v>
      </c>
      <c r="B79" s="6" t="s">
        <v>89</v>
      </c>
      <c r="C79" s="7" t="s">
        <v>7</v>
      </c>
      <c r="D79" s="7">
        <v>2016</v>
      </c>
      <c r="E79" s="7" t="s">
        <v>128</v>
      </c>
      <c r="F79" s="7" t="s">
        <v>127</v>
      </c>
      <c r="G79" s="7" t="s">
        <v>205</v>
      </c>
      <c r="H79" s="7" t="s">
        <v>94</v>
      </c>
      <c r="I79" s="3"/>
      <c r="J79" s="6">
        <v>295</v>
      </c>
      <c r="K79" s="6" t="s">
        <v>68</v>
      </c>
      <c r="L79" s="7" t="s">
        <v>49</v>
      </c>
      <c r="M79" s="7">
        <v>2023</v>
      </c>
      <c r="N79" s="7" t="s">
        <v>128</v>
      </c>
      <c r="O79" s="7" t="s">
        <v>127</v>
      </c>
      <c r="P79" s="7" t="s">
        <v>230</v>
      </c>
      <c r="Q79" s="7" t="s">
        <v>94</v>
      </c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2">
      <c r="A80" s="9">
        <v>119</v>
      </c>
      <c r="B80" s="9" t="s">
        <v>93</v>
      </c>
      <c r="C80" s="10" t="s">
        <v>7</v>
      </c>
      <c r="D80" s="10">
        <v>2004</v>
      </c>
      <c r="E80" s="10" t="s">
        <v>128</v>
      </c>
      <c r="F80" s="10" t="s">
        <v>127</v>
      </c>
      <c r="G80" s="10" t="s">
        <v>11</v>
      </c>
      <c r="H80" s="10" t="s">
        <v>94</v>
      </c>
      <c r="I80" s="3"/>
      <c r="J80" s="6">
        <v>296</v>
      </c>
      <c r="K80" s="6" t="s">
        <v>57</v>
      </c>
      <c r="L80" s="7" t="s">
        <v>49</v>
      </c>
      <c r="M80" s="7">
        <v>2023</v>
      </c>
      <c r="N80" s="7" t="s">
        <v>128</v>
      </c>
      <c r="O80" s="7" t="s">
        <v>127</v>
      </c>
      <c r="P80" s="7" t="s">
        <v>552</v>
      </c>
      <c r="Q80" s="7" t="s">
        <v>94</v>
      </c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2">
      <c r="A81" s="6">
        <v>121</v>
      </c>
      <c r="B81" s="7" t="s">
        <v>260</v>
      </c>
      <c r="C81" s="7" t="s">
        <v>7</v>
      </c>
      <c r="D81" s="7">
        <v>2007</v>
      </c>
      <c r="E81" s="7" t="s">
        <v>128</v>
      </c>
      <c r="F81" s="7" t="s">
        <v>127</v>
      </c>
      <c r="G81" s="7" t="s">
        <v>11</v>
      </c>
      <c r="H81" s="7" t="s">
        <v>97</v>
      </c>
      <c r="I81" s="3"/>
      <c r="J81" s="6">
        <v>299</v>
      </c>
      <c r="K81" s="6" t="s">
        <v>28</v>
      </c>
      <c r="L81" s="7" t="s">
        <v>49</v>
      </c>
      <c r="M81" s="7">
        <v>2020</v>
      </c>
      <c r="N81" s="7" t="s">
        <v>128</v>
      </c>
      <c r="O81" s="7" t="s">
        <v>127</v>
      </c>
      <c r="P81" s="7" t="s">
        <v>350</v>
      </c>
      <c r="Q81" s="7" t="s">
        <v>351</v>
      </c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2">
      <c r="A82" s="6">
        <v>122</v>
      </c>
      <c r="B82" s="7" t="s">
        <v>261</v>
      </c>
      <c r="C82" s="7" t="s">
        <v>7</v>
      </c>
      <c r="D82" s="7">
        <v>2003</v>
      </c>
      <c r="E82" s="7" t="s">
        <v>128</v>
      </c>
      <c r="F82" s="7" t="s">
        <v>127</v>
      </c>
      <c r="G82" s="7" t="s">
        <v>11</v>
      </c>
      <c r="H82" s="7" t="s">
        <v>278</v>
      </c>
      <c r="I82" s="3"/>
      <c r="J82" s="6">
        <v>307</v>
      </c>
      <c r="K82" s="6" t="s">
        <v>33</v>
      </c>
      <c r="L82" s="7" t="s">
        <v>49</v>
      </c>
      <c r="M82" s="7">
        <v>2023</v>
      </c>
      <c r="N82" s="7" t="s">
        <v>128</v>
      </c>
      <c r="O82" s="7" t="s">
        <v>127</v>
      </c>
      <c r="P82" s="7" t="s">
        <v>357</v>
      </c>
      <c r="Q82" s="7" t="s">
        <v>351</v>
      </c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2">
      <c r="A83" s="6">
        <v>125</v>
      </c>
      <c r="B83" s="7" t="s">
        <v>263</v>
      </c>
      <c r="C83" s="7" t="s">
        <v>7</v>
      </c>
      <c r="D83" s="7">
        <v>2004</v>
      </c>
      <c r="E83" s="7" t="s">
        <v>128</v>
      </c>
      <c r="F83" s="7" t="s">
        <v>127</v>
      </c>
      <c r="G83" s="7" t="s">
        <v>11</v>
      </c>
      <c r="H83" s="7" t="s">
        <v>101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2">
      <c r="A84" s="6">
        <v>126</v>
      </c>
      <c r="B84" s="7" t="s">
        <v>27</v>
      </c>
      <c r="C84" s="7" t="s">
        <v>7</v>
      </c>
      <c r="D84" s="7">
        <v>1997</v>
      </c>
      <c r="E84" s="7" t="s">
        <v>128</v>
      </c>
      <c r="F84" s="7" t="s">
        <v>127</v>
      </c>
      <c r="G84" s="7" t="s">
        <v>11</v>
      </c>
      <c r="H84" s="7" t="s">
        <v>280</v>
      </c>
      <c r="I84" s="3"/>
      <c r="J84" s="3">
        <f>COUNT(J43:J82)</f>
        <v>40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2">
      <c r="A85" s="6">
        <v>127</v>
      </c>
      <c r="B85" s="7" t="s">
        <v>27</v>
      </c>
      <c r="C85" s="7" t="s">
        <v>7</v>
      </c>
      <c r="D85" s="7">
        <v>2000</v>
      </c>
      <c r="E85" s="7" t="s">
        <v>128</v>
      </c>
      <c r="F85" s="7" t="s">
        <v>127</v>
      </c>
      <c r="G85" s="7" t="s">
        <v>11</v>
      </c>
      <c r="H85" s="7" t="s">
        <v>8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2">
      <c r="A86" s="6">
        <v>135</v>
      </c>
      <c r="B86" s="7" t="s">
        <v>39</v>
      </c>
      <c r="C86" s="7" t="s">
        <v>7</v>
      </c>
      <c r="D86" s="7">
        <v>2012</v>
      </c>
      <c r="E86" s="7" t="s">
        <v>128</v>
      </c>
      <c r="F86" s="7" t="s">
        <v>127</v>
      </c>
      <c r="G86" s="7" t="s">
        <v>294</v>
      </c>
      <c r="H86" s="7" t="s">
        <v>97</v>
      </c>
      <c r="I86" s="3"/>
      <c r="J86" s="36" t="s">
        <v>592</v>
      </c>
      <c r="K86" s="36"/>
      <c r="L86" s="36"/>
      <c r="M86" s="36"/>
      <c r="N86" s="36"/>
      <c r="O86" s="36"/>
      <c r="P86" s="36"/>
      <c r="Q86" s="36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2">
      <c r="A87" s="6">
        <v>136</v>
      </c>
      <c r="B87" s="7" t="s">
        <v>266</v>
      </c>
      <c r="C87" s="7" t="s">
        <v>7</v>
      </c>
      <c r="D87" s="7">
        <v>2012</v>
      </c>
      <c r="E87" s="7" t="s">
        <v>128</v>
      </c>
      <c r="F87" s="7" t="s">
        <v>127</v>
      </c>
      <c r="G87" s="7" t="s">
        <v>11</v>
      </c>
      <c r="H87" s="7" t="s">
        <v>103</v>
      </c>
      <c r="I87" s="3"/>
      <c r="J87" s="36"/>
      <c r="K87" s="36"/>
      <c r="L87" s="36"/>
      <c r="M87" s="36"/>
      <c r="N87" s="36"/>
      <c r="O87" s="36"/>
      <c r="P87" s="36"/>
      <c r="Q87" s="36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2">
      <c r="A88" s="6">
        <v>146</v>
      </c>
      <c r="B88" s="7" t="s">
        <v>6</v>
      </c>
      <c r="C88" s="7" t="s">
        <v>7</v>
      </c>
      <c r="D88" s="7">
        <v>2002</v>
      </c>
      <c r="E88" s="7" t="s">
        <v>128</v>
      </c>
      <c r="F88" s="7" t="s">
        <v>127</v>
      </c>
      <c r="G88" s="7" t="s">
        <v>11</v>
      </c>
      <c r="H88" s="7" t="s">
        <v>94</v>
      </c>
      <c r="I88" s="3"/>
      <c r="J88" s="33" t="s">
        <v>0</v>
      </c>
      <c r="K88" s="34" t="s">
        <v>5</v>
      </c>
      <c r="L88" s="35" t="s">
        <v>1</v>
      </c>
      <c r="M88" s="35" t="s">
        <v>2</v>
      </c>
      <c r="N88" s="35" t="s">
        <v>71</v>
      </c>
      <c r="O88" s="35" t="s">
        <v>126</v>
      </c>
      <c r="P88" s="35" t="s">
        <v>3</v>
      </c>
      <c r="Q88" s="35" t="s">
        <v>4</v>
      </c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2">
      <c r="A89" s="6">
        <v>147</v>
      </c>
      <c r="B89" s="7" t="s">
        <v>268</v>
      </c>
      <c r="C89" s="7" t="s">
        <v>7</v>
      </c>
      <c r="D89" s="7">
        <v>2008</v>
      </c>
      <c r="E89" s="7" t="s">
        <v>128</v>
      </c>
      <c r="F89" s="7" t="s">
        <v>127</v>
      </c>
      <c r="G89" s="7" t="s">
        <v>11</v>
      </c>
      <c r="H89" s="7" t="s">
        <v>287</v>
      </c>
      <c r="I89" s="3"/>
      <c r="J89" s="6">
        <v>35</v>
      </c>
      <c r="K89" s="6" t="s">
        <v>32</v>
      </c>
      <c r="L89" s="7" t="s">
        <v>136</v>
      </c>
      <c r="M89" s="7">
        <v>2018</v>
      </c>
      <c r="N89" s="7" t="s">
        <v>128</v>
      </c>
      <c r="O89" s="7" t="s">
        <v>127</v>
      </c>
      <c r="P89" s="7" t="s">
        <v>181</v>
      </c>
      <c r="Q89" s="7" t="s">
        <v>97</v>
      </c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2">
      <c r="A90" s="6">
        <v>149</v>
      </c>
      <c r="B90" s="7" t="s">
        <v>270</v>
      </c>
      <c r="C90" s="7" t="s">
        <v>7</v>
      </c>
      <c r="D90" s="7">
        <v>2003</v>
      </c>
      <c r="E90" s="7" t="s">
        <v>128</v>
      </c>
      <c r="F90" s="7" t="s">
        <v>127</v>
      </c>
      <c r="G90" s="7" t="s">
        <v>11</v>
      </c>
      <c r="H90" s="7" t="s">
        <v>278</v>
      </c>
      <c r="I90" s="3"/>
      <c r="J90" s="6">
        <v>53</v>
      </c>
      <c r="K90" s="6" t="s">
        <v>45</v>
      </c>
      <c r="L90" s="7" t="s">
        <v>136</v>
      </c>
      <c r="M90" s="7">
        <v>2013</v>
      </c>
      <c r="N90" s="7" t="s">
        <v>128</v>
      </c>
      <c r="O90" s="7" t="s">
        <v>127</v>
      </c>
      <c r="P90" s="7" t="s">
        <v>188</v>
      </c>
      <c r="Q90" s="7" t="s">
        <v>8</v>
      </c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2">
      <c r="A91" s="6">
        <v>154</v>
      </c>
      <c r="B91" s="7" t="s">
        <v>271</v>
      </c>
      <c r="C91" s="7" t="s">
        <v>7</v>
      </c>
      <c r="D91" s="7">
        <v>2010</v>
      </c>
      <c r="E91" s="7" t="s">
        <v>128</v>
      </c>
      <c r="F91" s="7" t="s">
        <v>127</v>
      </c>
      <c r="G91" s="7" t="s">
        <v>11</v>
      </c>
      <c r="H91" s="7" t="s">
        <v>286</v>
      </c>
      <c r="I91" s="3"/>
      <c r="J91" s="6">
        <v>58</v>
      </c>
      <c r="K91" s="6" t="s">
        <v>50</v>
      </c>
      <c r="L91" s="7" t="s">
        <v>136</v>
      </c>
      <c r="M91" s="7">
        <v>2013</v>
      </c>
      <c r="N91" s="7" t="s">
        <v>128</v>
      </c>
      <c r="O91" s="7" t="s">
        <v>127</v>
      </c>
      <c r="P91" s="7" t="s">
        <v>189</v>
      </c>
      <c r="Q91" s="7" t="s">
        <v>8</v>
      </c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2">
      <c r="A92" s="6">
        <v>156</v>
      </c>
      <c r="B92" s="7" t="s">
        <v>272</v>
      </c>
      <c r="C92" s="7" t="s">
        <v>7</v>
      </c>
      <c r="D92" s="7">
        <v>2010</v>
      </c>
      <c r="E92" s="7" t="s">
        <v>128</v>
      </c>
      <c r="F92" s="7" t="s">
        <v>127</v>
      </c>
      <c r="G92" s="7" t="s">
        <v>302</v>
      </c>
      <c r="H92" s="7" t="s">
        <v>289</v>
      </c>
      <c r="I92" s="3"/>
      <c r="J92" s="6">
        <v>59</v>
      </c>
      <c r="K92" s="6" t="s">
        <v>50</v>
      </c>
      <c r="L92" s="7" t="s">
        <v>136</v>
      </c>
      <c r="M92" s="7">
        <v>2014</v>
      </c>
      <c r="N92" s="7" t="s">
        <v>128</v>
      </c>
      <c r="O92" s="7" t="s">
        <v>127</v>
      </c>
      <c r="P92" s="7" t="s">
        <v>190</v>
      </c>
      <c r="Q92" s="7" t="s">
        <v>112</v>
      </c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2">
      <c r="A93" s="6">
        <v>157</v>
      </c>
      <c r="B93" s="7" t="s">
        <v>69</v>
      </c>
      <c r="C93" s="7" t="s">
        <v>7</v>
      </c>
      <c r="D93" s="7">
        <v>2005</v>
      </c>
      <c r="E93" s="7" t="s">
        <v>128</v>
      </c>
      <c r="F93" s="7" t="s">
        <v>127</v>
      </c>
      <c r="G93" s="7" t="s">
        <v>11</v>
      </c>
      <c r="H93" s="7" t="s">
        <v>94</v>
      </c>
      <c r="I93" s="3"/>
      <c r="J93" s="6">
        <v>75</v>
      </c>
      <c r="K93" s="2" t="s">
        <v>58</v>
      </c>
      <c r="L93" s="7" t="s">
        <v>136</v>
      </c>
      <c r="M93" s="7">
        <v>2009</v>
      </c>
      <c r="N93" s="7" t="s">
        <v>128</v>
      </c>
      <c r="O93" s="7" t="s">
        <v>127</v>
      </c>
      <c r="P93" s="7" t="s">
        <v>11</v>
      </c>
      <c r="Q93" s="7" t="s">
        <v>116</v>
      </c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2">
      <c r="A94" s="6">
        <v>158</v>
      </c>
      <c r="B94" s="7" t="s">
        <v>69</v>
      </c>
      <c r="C94" s="7" t="s">
        <v>7</v>
      </c>
      <c r="D94" s="7">
        <v>2011</v>
      </c>
      <c r="E94" s="7" t="s">
        <v>128</v>
      </c>
      <c r="F94" s="7" t="s">
        <v>127</v>
      </c>
      <c r="G94" s="7" t="s">
        <v>11</v>
      </c>
      <c r="H94" s="7" t="s">
        <v>287</v>
      </c>
      <c r="I94" s="3"/>
      <c r="J94" s="6">
        <v>76</v>
      </c>
      <c r="K94" s="6" t="s">
        <v>58</v>
      </c>
      <c r="L94" s="7" t="s">
        <v>136</v>
      </c>
      <c r="M94" s="7">
        <v>2009</v>
      </c>
      <c r="N94" s="7" t="s">
        <v>128</v>
      </c>
      <c r="O94" s="7" t="s">
        <v>127</v>
      </c>
      <c r="P94" s="7" t="s">
        <v>195</v>
      </c>
      <c r="Q94" s="7" t="s">
        <v>8</v>
      </c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2">
      <c r="A95" s="6">
        <v>159</v>
      </c>
      <c r="B95" s="7" t="s">
        <v>273</v>
      </c>
      <c r="C95" s="7" t="s">
        <v>7</v>
      </c>
      <c r="D95" s="7">
        <v>1998</v>
      </c>
      <c r="E95" s="7" t="s">
        <v>128</v>
      </c>
      <c r="F95" s="7" t="s">
        <v>127</v>
      </c>
      <c r="G95" s="7" t="s">
        <v>11</v>
      </c>
      <c r="H95" s="7" t="s">
        <v>280</v>
      </c>
      <c r="I95" s="3"/>
      <c r="J95" s="6">
        <v>79</v>
      </c>
      <c r="K95" s="6" t="s">
        <v>59</v>
      </c>
      <c r="L95" s="7" t="s">
        <v>136</v>
      </c>
      <c r="M95" s="7">
        <v>2012</v>
      </c>
      <c r="N95" s="7" t="s">
        <v>128</v>
      </c>
      <c r="O95" s="7" t="s">
        <v>127</v>
      </c>
      <c r="P95" s="7" t="s">
        <v>11</v>
      </c>
      <c r="Q95" s="7" t="s">
        <v>117</v>
      </c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2">
      <c r="A96" s="6">
        <v>160</v>
      </c>
      <c r="B96" s="7" t="s">
        <v>273</v>
      </c>
      <c r="C96" s="8" t="s">
        <v>7</v>
      </c>
      <c r="D96" s="7">
        <v>2012</v>
      </c>
      <c r="E96" s="7" t="s">
        <v>128</v>
      </c>
      <c r="F96" s="7" t="s">
        <v>127</v>
      </c>
      <c r="G96" s="7" t="s">
        <v>300</v>
      </c>
      <c r="H96" s="7" t="s">
        <v>290</v>
      </c>
      <c r="I96" s="3"/>
      <c r="J96" s="6">
        <v>98</v>
      </c>
      <c r="K96" s="6" t="s">
        <v>77</v>
      </c>
      <c r="L96" s="7" t="s">
        <v>136</v>
      </c>
      <c r="M96" s="7">
        <v>2015</v>
      </c>
      <c r="N96" s="7" t="s">
        <v>128</v>
      </c>
      <c r="O96" s="7" t="s">
        <v>127</v>
      </c>
      <c r="P96" s="7" t="s">
        <v>202</v>
      </c>
      <c r="Q96" s="7" t="s">
        <v>8</v>
      </c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2">
      <c r="A97" s="6">
        <v>161</v>
      </c>
      <c r="B97" s="7" t="s">
        <v>273</v>
      </c>
      <c r="C97" s="7" t="s">
        <v>7</v>
      </c>
      <c r="D97" s="7">
        <v>2006</v>
      </c>
      <c r="E97" s="7" t="s">
        <v>128</v>
      </c>
      <c r="F97" s="7" t="s">
        <v>127</v>
      </c>
      <c r="G97" s="7" t="s">
        <v>295</v>
      </c>
      <c r="H97" s="7" t="s">
        <v>97</v>
      </c>
      <c r="I97" s="3"/>
      <c r="J97" s="27">
        <v>99</v>
      </c>
      <c r="K97" s="27" t="s">
        <v>77</v>
      </c>
      <c r="L97" s="28" t="s">
        <v>136</v>
      </c>
      <c r="M97" s="28">
        <v>2018</v>
      </c>
      <c r="N97" s="28" t="s">
        <v>128</v>
      </c>
      <c r="O97" s="28" t="s">
        <v>127</v>
      </c>
      <c r="P97" s="28" t="s">
        <v>203</v>
      </c>
      <c r="Q97" s="28" t="s">
        <v>8</v>
      </c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2">
      <c r="A98" s="6">
        <v>162</v>
      </c>
      <c r="B98" s="7" t="s">
        <v>273</v>
      </c>
      <c r="C98" s="7" t="s">
        <v>7</v>
      </c>
      <c r="D98" s="7">
        <v>2011</v>
      </c>
      <c r="E98" s="7" t="s">
        <v>128</v>
      </c>
      <c r="F98" s="7" t="s">
        <v>127</v>
      </c>
      <c r="G98" s="7" t="s">
        <v>11</v>
      </c>
      <c r="H98" s="7" t="s">
        <v>94</v>
      </c>
      <c r="I98" s="3"/>
      <c r="J98" s="6">
        <v>117</v>
      </c>
      <c r="K98" s="6" t="s">
        <v>91</v>
      </c>
      <c r="L98" s="7" t="s">
        <v>136</v>
      </c>
      <c r="M98" s="7">
        <v>2015</v>
      </c>
      <c r="N98" s="7" t="s">
        <v>128</v>
      </c>
      <c r="O98" s="7" t="s">
        <v>127</v>
      </c>
      <c r="P98" s="7" t="s">
        <v>207</v>
      </c>
      <c r="Q98" s="7" t="s">
        <v>124</v>
      </c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2">
      <c r="A99" s="6">
        <v>163</v>
      </c>
      <c r="B99" s="7" t="s">
        <v>273</v>
      </c>
      <c r="C99" s="7" t="s">
        <v>7</v>
      </c>
      <c r="D99" s="7">
        <v>2009</v>
      </c>
      <c r="E99" s="7" t="s">
        <v>128</v>
      </c>
      <c r="F99" s="7" t="s">
        <v>127</v>
      </c>
      <c r="G99" s="7" t="s">
        <v>11</v>
      </c>
      <c r="H99" s="7" t="s">
        <v>282</v>
      </c>
      <c r="I99" s="3"/>
      <c r="J99" s="14">
        <v>130</v>
      </c>
      <c r="K99" s="20" t="s">
        <v>264</v>
      </c>
      <c r="L99" s="20" t="s">
        <v>136</v>
      </c>
      <c r="M99" s="20">
        <v>2007</v>
      </c>
      <c r="N99" s="20" t="s">
        <v>128</v>
      </c>
      <c r="O99" s="20" t="s">
        <v>127</v>
      </c>
      <c r="P99" s="20" t="s">
        <v>296</v>
      </c>
      <c r="Q99" s="20" t="s">
        <v>281</v>
      </c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2">
      <c r="A100" s="6">
        <v>165</v>
      </c>
      <c r="B100" s="7" t="s">
        <v>72</v>
      </c>
      <c r="C100" s="7" t="s">
        <v>7</v>
      </c>
      <c r="D100" s="7">
        <v>2007</v>
      </c>
      <c r="E100" s="7" t="s">
        <v>128</v>
      </c>
      <c r="F100" s="7" t="s">
        <v>127</v>
      </c>
      <c r="G100" s="7" t="s">
        <v>297</v>
      </c>
      <c r="H100" s="7" t="s">
        <v>291</v>
      </c>
      <c r="I100" s="3"/>
      <c r="J100" s="6">
        <v>141</v>
      </c>
      <c r="K100" s="7" t="s">
        <v>267</v>
      </c>
      <c r="L100" s="7" t="s">
        <v>136</v>
      </c>
      <c r="M100" s="7">
        <v>1986</v>
      </c>
      <c r="N100" s="7" t="s">
        <v>128</v>
      </c>
      <c r="O100" s="7" t="s">
        <v>127</v>
      </c>
      <c r="P100" s="7" t="s">
        <v>11</v>
      </c>
      <c r="Q100" s="7" t="s">
        <v>8</v>
      </c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2">
      <c r="A101" s="6">
        <v>166</v>
      </c>
      <c r="B101" s="7" t="s">
        <v>72</v>
      </c>
      <c r="C101" s="7" t="s">
        <v>7</v>
      </c>
      <c r="D101" s="7">
        <v>2012</v>
      </c>
      <c r="E101" s="7" t="s">
        <v>128</v>
      </c>
      <c r="F101" s="7" t="s">
        <v>127</v>
      </c>
      <c r="G101" s="7" t="s">
        <v>11</v>
      </c>
      <c r="H101" s="7" t="s">
        <v>292</v>
      </c>
      <c r="I101" s="3"/>
      <c r="J101" s="6">
        <v>172</v>
      </c>
      <c r="K101" s="7" t="s">
        <v>275</v>
      </c>
      <c r="L101" s="7" t="s">
        <v>136</v>
      </c>
      <c r="M101" s="7">
        <v>1999</v>
      </c>
      <c r="N101" s="7" t="s">
        <v>128</v>
      </c>
      <c r="O101" s="7" t="s">
        <v>127</v>
      </c>
      <c r="P101" s="7" t="s">
        <v>11</v>
      </c>
      <c r="Q101" s="7" t="s">
        <v>281</v>
      </c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2">
      <c r="A102" s="6">
        <v>167</v>
      </c>
      <c r="B102" s="7" t="s">
        <v>75</v>
      </c>
      <c r="C102" s="7" t="s">
        <v>7</v>
      </c>
      <c r="D102" s="7">
        <v>2003</v>
      </c>
      <c r="E102" s="7" t="s">
        <v>128</v>
      </c>
      <c r="F102" s="7" t="s">
        <v>127</v>
      </c>
      <c r="G102" s="7" t="s">
        <v>11</v>
      </c>
      <c r="H102" s="7" t="s">
        <v>97</v>
      </c>
      <c r="I102" s="3"/>
      <c r="J102" s="27">
        <v>194</v>
      </c>
      <c r="K102" s="27" t="s">
        <v>32</v>
      </c>
      <c r="L102" s="28" t="s">
        <v>136</v>
      </c>
      <c r="M102" s="28">
        <v>2020</v>
      </c>
      <c r="N102" s="28" t="s">
        <v>128</v>
      </c>
      <c r="O102" s="28" t="s">
        <v>127</v>
      </c>
      <c r="P102" s="28" t="s">
        <v>11</v>
      </c>
      <c r="Q102" s="28" t="s">
        <v>97</v>
      </c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2">
      <c r="A103" s="6">
        <v>169</v>
      </c>
      <c r="B103" s="7" t="s">
        <v>274</v>
      </c>
      <c r="C103" s="7" t="s">
        <v>7</v>
      </c>
      <c r="D103" s="7">
        <v>2003</v>
      </c>
      <c r="E103" s="7" t="s">
        <v>128</v>
      </c>
      <c r="F103" s="7" t="s">
        <v>127</v>
      </c>
      <c r="G103" s="7" t="s">
        <v>11</v>
      </c>
      <c r="H103" s="7" t="s">
        <v>278</v>
      </c>
      <c r="I103" s="3"/>
      <c r="J103" s="27">
        <v>195</v>
      </c>
      <c r="K103" s="27" t="s">
        <v>383</v>
      </c>
      <c r="L103" s="28" t="s">
        <v>136</v>
      </c>
      <c r="M103" s="28">
        <v>2013</v>
      </c>
      <c r="N103" s="28" t="s">
        <v>128</v>
      </c>
      <c r="O103" s="28" t="s">
        <v>127</v>
      </c>
      <c r="P103" s="28" t="s">
        <v>414</v>
      </c>
      <c r="Q103" s="28" t="s">
        <v>415</v>
      </c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2">
      <c r="A104" s="6">
        <v>170</v>
      </c>
      <c r="B104" s="7" t="s">
        <v>84</v>
      </c>
      <c r="C104" s="7" t="s">
        <v>7</v>
      </c>
      <c r="D104" s="7">
        <v>2009</v>
      </c>
      <c r="E104" s="7" t="s">
        <v>128</v>
      </c>
      <c r="F104" s="7" t="s">
        <v>127</v>
      </c>
      <c r="G104" s="7" t="s">
        <v>303</v>
      </c>
      <c r="H104" s="7" t="s">
        <v>291</v>
      </c>
      <c r="I104" s="3"/>
      <c r="J104" s="27">
        <v>211</v>
      </c>
      <c r="K104" s="6" t="s">
        <v>391</v>
      </c>
      <c r="L104" s="7" t="s">
        <v>136</v>
      </c>
      <c r="M104" s="7">
        <v>2008</v>
      </c>
      <c r="N104" s="7" t="s">
        <v>128</v>
      </c>
      <c r="O104" s="7" t="s">
        <v>127</v>
      </c>
      <c r="P104" s="7" t="s">
        <v>11</v>
      </c>
      <c r="Q104" s="7" t="s">
        <v>445</v>
      </c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2">
      <c r="A105" s="6">
        <v>173</v>
      </c>
      <c r="B105" s="7" t="s">
        <v>276</v>
      </c>
      <c r="C105" s="7" t="s">
        <v>7</v>
      </c>
      <c r="D105" s="7">
        <v>1992</v>
      </c>
      <c r="E105" s="7" t="s">
        <v>128</v>
      </c>
      <c r="F105" s="7" t="s">
        <v>127</v>
      </c>
      <c r="G105" s="7" t="s">
        <v>11</v>
      </c>
      <c r="H105" s="7" t="s">
        <v>291</v>
      </c>
      <c r="I105" s="3"/>
      <c r="J105" s="6">
        <v>243</v>
      </c>
      <c r="K105" s="6" t="s">
        <v>135</v>
      </c>
      <c r="L105" s="7" t="s">
        <v>136</v>
      </c>
      <c r="M105" s="7">
        <v>2024</v>
      </c>
      <c r="N105" s="7" t="s">
        <v>128</v>
      </c>
      <c r="O105" s="7" t="s">
        <v>127</v>
      </c>
      <c r="P105" s="7" t="s">
        <v>137</v>
      </c>
      <c r="Q105" s="7" t="s">
        <v>94</v>
      </c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2">
      <c r="A106" s="6">
        <v>174</v>
      </c>
      <c r="B106" s="7" t="s">
        <v>277</v>
      </c>
      <c r="C106" s="7" t="s">
        <v>7</v>
      </c>
      <c r="D106" s="7">
        <v>2008</v>
      </c>
      <c r="E106" s="7" t="s">
        <v>128</v>
      </c>
      <c r="F106" s="7" t="s">
        <v>127</v>
      </c>
      <c r="G106" s="7" t="s">
        <v>11</v>
      </c>
      <c r="H106" s="7" t="s">
        <v>282</v>
      </c>
      <c r="I106" s="3"/>
      <c r="J106" s="27">
        <v>247</v>
      </c>
      <c r="K106" s="27" t="s">
        <v>143</v>
      </c>
      <c r="L106" s="28" t="s">
        <v>136</v>
      </c>
      <c r="M106" s="28">
        <v>2024</v>
      </c>
      <c r="N106" s="28" t="s">
        <v>128</v>
      </c>
      <c r="O106" s="28" t="s">
        <v>127</v>
      </c>
      <c r="P106" s="28" t="s">
        <v>142</v>
      </c>
      <c r="Q106" s="28" t="s">
        <v>571</v>
      </c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2">
      <c r="A107" s="27">
        <v>188</v>
      </c>
      <c r="B107" s="27" t="s">
        <v>27</v>
      </c>
      <c r="C107" s="7" t="s">
        <v>7</v>
      </c>
      <c r="D107" s="7">
        <v>2022</v>
      </c>
      <c r="E107" s="7" t="s">
        <v>128</v>
      </c>
      <c r="F107" s="7" t="s">
        <v>127</v>
      </c>
      <c r="G107" s="7" t="s">
        <v>371</v>
      </c>
      <c r="H107" s="28" t="s">
        <v>440</v>
      </c>
      <c r="I107" s="3"/>
      <c r="J107" s="14">
        <v>248</v>
      </c>
      <c r="K107" s="14" t="s">
        <v>135</v>
      </c>
      <c r="L107" s="20" t="s">
        <v>136</v>
      </c>
      <c r="M107" s="20">
        <v>2024</v>
      </c>
      <c r="N107" s="20" t="s">
        <v>128</v>
      </c>
      <c r="O107" s="20" t="s">
        <v>127</v>
      </c>
      <c r="P107" s="20" t="s">
        <v>144</v>
      </c>
      <c r="Q107" s="20" t="s">
        <v>571</v>
      </c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2">
      <c r="A108" s="27">
        <v>214</v>
      </c>
      <c r="B108" s="6" t="s">
        <v>6</v>
      </c>
      <c r="C108" s="7" t="s">
        <v>7</v>
      </c>
      <c r="D108" s="7">
        <v>2021</v>
      </c>
      <c r="E108" s="7" t="s">
        <v>128</v>
      </c>
      <c r="F108" s="7" t="s">
        <v>127</v>
      </c>
      <c r="G108" s="7" t="s">
        <v>424</v>
      </c>
      <c r="H108" s="7" t="s">
        <v>425</v>
      </c>
      <c r="I108" s="3"/>
      <c r="J108" s="6">
        <v>266</v>
      </c>
      <c r="K108" s="6" t="s">
        <v>77</v>
      </c>
      <c r="L108" s="7" t="s">
        <v>136</v>
      </c>
      <c r="M108" s="7">
        <v>2023</v>
      </c>
      <c r="N108" s="7" t="s">
        <v>128</v>
      </c>
      <c r="O108" s="7" t="s">
        <v>127</v>
      </c>
      <c r="P108" s="7" t="s">
        <v>502</v>
      </c>
      <c r="Q108" s="7" t="s">
        <v>281</v>
      </c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2">
      <c r="A109" s="27">
        <v>233</v>
      </c>
      <c r="B109" s="6" t="s">
        <v>273</v>
      </c>
      <c r="C109" s="7" t="s">
        <v>7</v>
      </c>
      <c r="D109" s="7">
        <v>2011</v>
      </c>
      <c r="E109" s="7" t="s">
        <v>128</v>
      </c>
      <c r="F109" s="7" t="s">
        <v>127</v>
      </c>
      <c r="G109" s="7" t="s">
        <v>300</v>
      </c>
      <c r="H109" s="7" t="s">
        <v>290</v>
      </c>
      <c r="I109" s="3"/>
      <c r="J109" s="6">
        <v>275</v>
      </c>
      <c r="K109" s="6" t="s">
        <v>135</v>
      </c>
      <c r="L109" s="7" t="s">
        <v>136</v>
      </c>
      <c r="M109" s="7">
        <v>2021</v>
      </c>
      <c r="N109" s="7" t="s">
        <v>128</v>
      </c>
      <c r="O109" s="7" t="s">
        <v>127</v>
      </c>
      <c r="P109" s="7" t="s">
        <v>520</v>
      </c>
      <c r="Q109" s="7" t="s">
        <v>281</v>
      </c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2">
      <c r="A110" s="6">
        <v>241</v>
      </c>
      <c r="B110" s="6" t="s">
        <v>131</v>
      </c>
      <c r="C110" s="7" t="s">
        <v>7</v>
      </c>
      <c r="D110" s="7">
        <v>2024</v>
      </c>
      <c r="E110" s="7" t="s">
        <v>128</v>
      </c>
      <c r="F110" s="7" t="s">
        <v>127</v>
      </c>
      <c r="G110" s="7" t="s">
        <v>132</v>
      </c>
      <c r="H110" s="7" t="s">
        <v>94</v>
      </c>
      <c r="I110" s="3"/>
      <c r="J110" s="6">
        <v>291</v>
      </c>
      <c r="K110" s="6" t="s">
        <v>518</v>
      </c>
      <c r="L110" s="7" t="s">
        <v>136</v>
      </c>
      <c r="M110" s="7">
        <v>2019</v>
      </c>
      <c r="N110" s="7" t="s">
        <v>128</v>
      </c>
      <c r="O110" s="7" t="s">
        <v>127</v>
      </c>
      <c r="P110" s="7" t="s">
        <v>546</v>
      </c>
      <c r="Q110" s="7" t="s">
        <v>281</v>
      </c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2">
      <c r="A111" s="6">
        <v>242</v>
      </c>
      <c r="B111" s="6" t="s">
        <v>133</v>
      </c>
      <c r="C111" s="7" t="s">
        <v>7</v>
      </c>
      <c r="D111" s="7">
        <v>2024</v>
      </c>
      <c r="E111" s="7" t="s">
        <v>128</v>
      </c>
      <c r="F111" s="7" t="s">
        <v>127</v>
      </c>
      <c r="G111" s="7" t="s">
        <v>134</v>
      </c>
      <c r="H111" s="7" t="s">
        <v>94</v>
      </c>
      <c r="I111" s="3"/>
      <c r="J111" s="6">
        <v>292</v>
      </c>
      <c r="K111" s="6" t="s">
        <v>547</v>
      </c>
      <c r="L111" s="7" t="s">
        <v>136</v>
      </c>
      <c r="M111" s="7">
        <v>2019</v>
      </c>
      <c r="N111" s="7" t="s">
        <v>128</v>
      </c>
      <c r="O111" s="7" t="s">
        <v>127</v>
      </c>
      <c r="P111" s="7" t="s">
        <v>548</v>
      </c>
      <c r="Q111" s="7" t="s">
        <v>281</v>
      </c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2">
      <c r="A112" s="6">
        <v>244</v>
      </c>
      <c r="B112" s="6" t="s">
        <v>151</v>
      </c>
      <c r="C112" s="7" t="s">
        <v>7</v>
      </c>
      <c r="D112" s="7">
        <v>2024</v>
      </c>
      <c r="E112" s="7" t="s">
        <v>128</v>
      </c>
      <c r="F112" s="7" t="s">
        <v>127</v>
      </c>
      <c r="G112" s="7" t="s">
        <v>152</v>
      </c>
      <c r="H112" s="7" t="s">
        <v>94</v>
      </c>
      <c r="I112" s="3"/>
      <c r="J112" s="6">
        <v>293</v>
      </c>
      <c r="K112" s="6" t="s">
        <v>549</v>
      </c>
      <c r="L112" s="7" t="s">
        <v>136</v>
      </c>
      <c r="M112" s="7">
        <v>2019</v>
      </c>
      <c r="N112" s="7" t="s">
        <v>128</v>
      </c>
      <c r="O112" s="7" t="s">
        <v>127</v>
      </c>
      <c r="P112" s="7" t="s">
        <v>550</v>
      </c>
      <c r="Q112" s="7" t="s">
        <v>281</v>
      </c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2">
      <c r="A113" s="6">
        <v>245</v>
      </c>
      <c r="B113" s="6" t="s">
        <v>138</v>
      </c>
      <c r="C113" s="7" t="s">
        <v>7</v>
      </c>
      <c r="D113" s="7">
        <v>2024</v>
      </c>
      <c r="E113" s="7" t="s">
        <v>128</v>
      </c>
      <c r="F113" s="7" t="s">
        <v>127</v>
      </c>
      <c r="G113" s="7" t="s">
        <v>139</v>
      </c>
      <c r="H113" s="7" t="s">
        <v>571</v>
      </c>
      <c r="I113" s="3"/>
      <c r="J113" s="6">
        <v>309</v>
      </c>
      <c r="K113" s="6" t="s">
        <v>50</v>
      </c>
      <c r="L113" s="7" t="s">
        <v>136</v>
      </c>
      <c r="M113" s="7">
        <v>2022</v>
      </c>
      <c r="N113" s="7" t="s">
        <v>128</v>
      </c>
      <c r="O113" s="7" t="s">
        <v>127</v>
      </c>
      <c r="P113" s="7" t="s">
        <v>361</v>
      </c>
      <c r="Q113" s="7" t="s">
        <v>351</v>
      </c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2">
      <c r="A114" s="6">
        <v>246</v>
      </c>
      <c r="B114" s="6" t="s">
        <v>140</v>
      </c>
      <c r="C114" s="7" t="s">
        <v>7</v>
      </c>
      <c r="D114" s="7">
        <v>2024</v>
      </c>
      <c r="E114" s="7" t="s">
        <v>128</v>
      </c>
      <c r="F114" s="7" t="s">
        <v>127</v>
      </c>
      <c r="G114" s="7" t="s">
        <v>141</v>
      </c>
      <c r="H114" s="7" t="s">
        <v>571</v>
      </c>
      <c r="I114" s="3"/>
      <c r="J114" s="27">
        <v>318</v>
      </c>
      <c r="K114" s="6" t="s">
        <v>367</v>
      </c>
      <c r="L114" s="7" t="s">
        <v>136</v>
      </c>
      <c r="M114" s="7">
        <v>2024</v>
      </c>
      <c r="N114" s="7" t="s">
        <v>128</v>
      </c>
      <c r="O114" s="7" t="s">
        <v>127</v>
      </c>
      <c r="P114" s="7" t="s">
        <v>368</v>
      </c>
      <c r="Q114" s="7" t="s">
        <v>351</v>
      </c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2">
      <c r="A115" s="6">
        <v>249</v>
      </c>
      <c r="B115" s="6" t="s">
        <v>146</v>
      </c>
      <c r="C115" s="7" t="s">
        <v>7</v>
      </c>
      <c r="D115" s="7">
        <v>2024</v>
      </c>
      <c r="E115" s="7" t="s">
        <v>128</v>
      </c>
      <c r="F115" s="7" t="s">
        <v>127</v>
      </c>
      <c r="G115" s="7" t="s">
        <v>145</v>
      </c>
      <c r="H115" s="7" t="s">
        <v>571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2">
      <c r="A116" s="6">
        <v>250</v>
      </c>
      <c r="B116" s="6" t="s">
        <v>147</v>
      </c>
      <c r="C116" s="7" t="s">
        <v>7</v>
      </c>
      <c r="D116" s="7">
        <v>2024</v>
      </c>
      <c r="E116" s="7" t="s">
        <v>128</v>
      </c>
      <c r="F116" s="7" t="s">
        <v>127</v>
      </c>
      <c r="G116" s="7" t="s">
        <v>148</v>
      </c>
      <c r="H116" s="7" t="s">
        <v>571</v>
      </c>
      <c r="J116">
        <f>COUNT(J89:J114)</f>
        <v>26</v>
      </c>
    </row>
    <row r="117" spans="1:27" x14ac:dyDescent="0.2">
      <c r="A117" s="6">
        <v>252</v>
      </c>
      <c r="B117" s="6" t="s">
        <v>153</v>
      </c>
      <c r="C117" s="7" t="s">
        <v>7</v>
      </c>
      <c r="D117" s="7">
        <v>2024</v>
      </c>
      <c r="E117" s="7" t="s">
        <v>128</v>
      </c>
      <c r="F117" s="7" t="s">
        <v>127</v>
      </c>
      <c r="G117" s="7" t="s">
        <v>154</v>
      </c>
      <c r="H117" s="7" t="s">
        <v>571</v>
      </c>
    </row>
    <row r="118" spans="1:27" x14ac:dyDescent="0.2">
      <c r="A118" s="6">
        <v>254</v>
      </c>
      <c r="B118" s="6" t="s">
        <v>80</v>
      </c>
      <c r="C118" s="7" t="s">
        <v>7</v>
      </c>
      <c r="D118" s="7">
        <v>2024</v>
      </c>
      <c r="E118" s="7" t="s">
        <v>128</v>
      </c>
      <c r="F118" s="7" t="s">
        <v>127</v>
      </c>
      <c r="G118" s="7" t="s">
        <v>156</v>
      </c>
      <c r="H118" s="7" t="s">
        <v>571</v>
      </c>
    </row>
    <row r="119" spans="1:27" x14ac:dyDescent="0.2">
      <c r="A119" s="6">
        <v>255</v>
      </c>
      <c r="B119" s="6" t="s">
        <v>157</v>
      </c>
      <c r="C119" s="7" t="s">
        <v>7</v>
      </c>
      <c r="D119" s="7">
        <v>2024</v>
      </c>
      <c r="E119" s="7" t="s">
        <v>128</v>
      </c>
      <c r="F119" s="7" t="s">
        <v>127</v>
      </c>
      <c r="G119" s="7" t="s">
        <v>158</v>
      </c>
      <c r="H119" s="7" t="s">
        <v>94</v>
      </c>
    </row>
    <row r="120" spans="1:27" x14ac:dyDescent="0.2">
      <c r="A120" s="6">
        <v>257</v>
      </c>
      <c r="B120" s="6" t="s">
        <v>163</v>
      </c>
      <c r="C120" s="7" t="s">
        <v>7</v>
      </c>
      <c r="D120" s="7">
        <v>2024</v>
      </c>
      <c r="E120" s="7" t="s">
        <v>128</v>
      </c>
      <c r="F120" s="7" t="s">
        <v>127</v>
      </c>
      <c r="G120" s="7" t="s">
        <v>162</v>
      </c>
      <c r="H120" s="7" t="s">
        <v>94</v>
      </c>
    </row>
    <row r="121" spans="1:27" x14ac:dyDescent="0.2">
      <c r="A121" s="6">
        <v>276</v>
      </c>
      <c r="B121" s="6" t="s">
        <v>80</v>
      </c>
      <c r="C121" s="7" t="s">
        <v>7</v>
      </c>
      <c r="D121" s="7">
        <v>2022</v>
      </c>
      <c r="E121" s="7" t="s">
        <v>128</v>
      </c>
      <c r="F121" s="7" t="s">
        <v>127</v>
      </c>
      <c r="G121" s="7" t="s">
        <v>521</v>
      </c>
      <c r="H121" s="7" t="s">
        <v>571</v>
      </c>
    </row>
    <row r="122" spans="1:27" x14ac:dyDescent="0.2">
      <c r="A122" s="6">
        <v>277</v>
      </c>
      <c r="B122" s="6" t="s">
        <v>522</v>
      </c>
      <c r="C122" s="7" t="s">
        <v>7</v>
      </c>
      <c r="D122" s="7">
        <v>2022</v>
      </c>
      <c r="E122" s="7" t="s">
        <v>128</v>
      </c>
      <c r="F122" s="7" t="s">
        <v>127</v>
      </c>
      <c r="G122" s="7" t="s">
        <v>523</v>
      </c>
      <c r="H122" s="7" t="s">
        <v>571</v>
      </c>
    </row>
    <row r="123" spans="1:27" x14ac:dyDescent="0.2">
      <c r="A123" s="6">
        <v>278</v>
      </c>
      <c r="B123" s="6" t="s">
        <v>27</v>
      </c>
      <c r="C123" s="7" t="s">
        <v>7</v>
      </c>
      <c r="D123" s="7">
        <v>2022</v>
      </c>
      <c r="E123" s="7" t="s">
        <v>128</v>
      </c>
      <c r="F123" s="7" t="s">
        <v>127</v>
      </c>
      <c r="G123" s="7" t="s">
        <v>217</v>
      </c>
      <c r="H123" s="7" t="s">
        <v>571</v>
      </c>
    </row>
    <row r="124" spans="1:27" x14ac:dyDescent="0.2">
      <c r="A124" s="6">
        <v>280</v>
      </c>
      <c r="B124" s="6" t="s">
        <v>163</v>
      </c>
      <c r="C124" s="7" t="s">
        <v>7</v>
      </c>
      <c r="D124" s="7">
        <v>2022</v>
      </c>
      <c r="E124" s="7" t="s">
        <v>128</v>
      </c>
      <c r="F124" s="7" t="s">
        <v>127</v>
      </c>
      <c r="G124" s="7" t="s">
        <v>230</v>
      </c>
      <c r="H124" s="7" t="s">
        <v>571</v>
      </c>
    </row>
    <row r="125" spans="1:27" x14ac:dyDescent="0.2">
      <c r="A125" s="6">
        <v>281</v>
      </c>
      <c r="B125" s="6" t="s">
        <v>526</v>
      </c>
      <c r="C125" s="7" t="s">
        <v>7</v>
      </c>
      <c r="D125" s="7">
        <v>2022</v>
      </c>
      <c r="E125" s="7" t="s">
        <v>128</v>
      </c>
      <c r="F125" s="7" t="s">
        <v>127</v>
      </c>
      <c r="G125" s="7" t="s">
        <v>527</v>
      </c>
      <c r="H125" s="7" t="s">
        <v>571</v>
      </c>
    </row>
    <row r="126" spans="1:27" x14ac:dyDescent="0.2">
      <c r="A126" s="6">
        <v>282</v>
      </c>
      <c r="B126" s="6" t="s">
        <v>528</v>
      </c>
      <c r="C126" s="7" t="s">
        <v>7</v>
      </c>
      <c r="D126" s="7">
        <v>2022</v>
      </c>
      <c r="E126" s="7" t="s">
        <v>128</v>
      </c>
      <c r="F126" s="7" t="s">
        <v>127</v>
      </c>
      <c r="G126" s="7" t="s">
        <v>529</v>
      </c>
      <c r="H126" s="7" t="s">
        <v>571</v>
      </c>
    </row>
    <row r="127" spans="1:27" x14ac:dyDescent="0.2">
      <c r="A127" s="6">
        <v>294</v>
      </c>
      <c r="B127" s="6" t="s">
        <v>168</v>
      </c>
      <c r="C127" s="7" t="s">
        <v>7</v>
      </c>
      <c r="D127" s="7">
        <v>2023</v>
      </c>
      <c r="E127" s="7" t="s">
        <v>128</v>
      </c>
      <c r="F127" s="7" t="s">
        <v>127</v>
      </c>
      <c r="G127" s="7" t="s">
        <v>551</v>
      </c>
      <c r="H127" s="7" t="s">
        <v>94</v>
      </c>
    </row>
    <row r="128" spans="1:27" x14ac:dyDescent="0.2">
      <c r="A128" s="6">
        <v>303</v>
      </c>
      <c r="B128" s="6" t="s">
        <v>353</v>
      </c>
      <c r="C128" s="7" t="s">
        <v>7</v>
      </c>
      <c r="D128" s="7">
        <v>2018</v>
      </c>
      <c r="E128" s="7" t="s">
        <v>128</v>
      </c>
      <c r="F128" s="7" t="s">
        <v>127</v>
      </c>
      <c r="G128" s="7" t="s">
        <v>354</v>
      </c>
      <c r="H128" s="7" t="s">
        <v>351</v>
      </c>
    </row>
    <row r="129" spans="1:8" x14ac:dyDescent="0.2">
      <c r="A129" s="27">
        <v>306</v>
      </c>
      <c r="B129" s="6" t="s">
        <v>355</v>
      </c>
      <c r="C129" s="7" t="s">
        <v>7</v>
      </c>
      <c r="D129" s="7">
        <v>2018</v>
      </c>
      <c r="E129" s="7" t="s">
        <v>128</v>
      </c>
      <c r="F129" s="7" t="s">
        <v>127</v>
      </c>
      <c r="G129" s="7" t="s">
        <v>356</v>
      </c>
      <c r="H129" s="7" t="s">
        <v>351</v>
      </c>
    </row>
    <row r="130" spans="1:8" x14ac:dyDescent="0.2">
      <c r="A130">
        <f>COUNT(A14:A129)</f>
        <v>116</v>
      </c>
    </row>
  </sheetData>
  <mergeCells count="8">
    <mergeCell ref="J86:Q87"/>
    <mergeCell ref="S11:Z12"/>
    <mergeCell ref="S26:Z27"/>
    <mergeCell ref="S41:Z42"/>
    <mergeCell ref="E1:G1"/>
    <mergeCell ref="A11:H12"/>
    <mergeCell ref="J11:Q12"/>
    <mergeCell ref="J40:Q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Lawson</vt:lpstr>
      <vt:lpstr>Matthews</vt:lpstr>
      <vt:lpstr>Mullen</vt:lpstr>
      <vt:lpstr> Journal + Conferences</vt:lpstr>
      <vt:lpstr>Database</vt:lpstr>
      <vt:lpstr>Summary</vt:lpstr>
      <vt:lpstr>Terminology 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Moclair</dc:creator>
  <cp:lastModifiedBy>Niall Moclair</cp:lastModifiedBy>
  <dcterms:created xsi:type="dcterms:W3CDTF">2024-12-14T10:56:22Z</dcterms:created>
  <dcterms:modified xsi:type="dcterms:W3CDTF">2025-03-16T14:26:23Z</dcterms:modified>
</cp:coreProperties>
</file>