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D4D639-8D68-495C-BF1B-20B37EF4C7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上課練習單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3" l="1"/>
  <c r="B49" i="3"/>
  <c r="B50" i="3"/>
  <c r="M24" i="3"/>
  <c r="B47" i="3"/>
  <c r="D30" i="3"/>
  <c r="E30" i="3"/>
  <c r="F30" i="3"/>
  <c r="G30" i="3"/>
  <c r="H30" i="3"/>
  <c r="I30" i="3"/>
  <c r="J30" i="3"/>
  <c r="K30" i="3"/>
  <c r="L30" i="3"/>
  <c r="C30" i="3"/>
  <c r="N23" i="3"/>
  <c r="C23" i="3"/>
  <c r="D23" i="3"/>
  <c r="E23" i="3"/>
  <c r="F23" i="3"/>
  <c r="G23" i="3"/>
  <c r="H23" i="3"/>
  <c r="I23" i="3"/>
  <c r="J23" i="3"/>
  <c r="K23" i="3"/>
  <c r="L23" i="3"/>
  <c r="M23" i="3"/>
  <c r="B23" i="3"/>
  <c r="D31" i="3"/>
  <c r="E31" i="3"/>
  <c r="F31" i="3"/>
  <c r="G31" i="3"/>
  <c r="H31" i="3"/>
  <c r="I31" i="3"/>
  <c r="J31" i="3"/>
  <c r="K31" i="3"/>
  <c r="L31" i="3"/>
  <c r="B17" i="3"/>
  <c r="C28" i="3"/>
  <c r="D28" i="3"/>
  <c r="E28" i="3"/>
  <c r="F28" i="3"/>
  <c r="G28" i="3"/>
  <c r="H28" i="3"/>
  <c r="I28" i="3"/>
  <c r="J28" i="3"/>
  <c r="K28" i="3"/>
  <c r="L28" i="3"/>
  <c r="C29" i="3"/>
  <c r="D29" i="3"/>
  <c r="D54" i="3" s="1"/>
  <c r="E29" i="3"/>
  <c r="E33" i="3" s="1"/>
  <c r="F29" i="3"/>
  <c r="F54" i="3" s="1"/>
  <c r="G29" i="3"/>
  <c r="G54" i="3" s="1"/>
  <c r="H29" i="3"/>
  <c r="H54" i="3" s="1"/>
  <c r="I29" i="3"/>
  <c r="I54" i="3" s="1"/>
  <c r="J29" i="3"/>
  <c r="J33" i="3" s="1"/>
  <c r="K29" i="3"/>
  <c r="K32" i="3" s="1"/>
  <c r="L29" i="3"/>
  <c r="L54" i="3" s="1"/>
  <c r="L40" i="3" s="1"/>
  <c r="L45" i="3"/>
  <c r="K45" i="3"/>
  <c r="J45" i="3"/>
  <c r="I45" i="3"/>
  <c r="H45" i="3"/>
  <c r="G45" i="3"/>
  <c r="F45" i="3"/>
  <c r="E45" i="3"/>
  <c r="D45" i="3"/>
  <c r="C45" i="3"/>
  <c r="N22" i="3"/>
  <c r="N21" i="3"/>
  <c r="N20" i="3"/>
  <c r="N19" i="3"/>
  <c r="N18" i="3"/>
  <c r="M17" i="3"/>
  <c r="L17" i="3"/>
  <c r="K17" i="3"/>
  <c r="J17" i="3"/>
  <c r="I17" i="3"/>
  <c r="H17" i="3"/>
  <c r="G17" i="3"/>
  <c r="F17" i="3"/>
  <c r="E17" i="3"/>
  <c r="D17" i="3"/>
  <c r="C17" i="3"/>
  <c r="M16" i="3"/>
  <c r="L16" i="3"/>
  <c r="K16" i="3"/>
  <c r="J16" i="3"/>
  <c r="I16" i="3"/>
  <c r="H16" i="3"/>
  <c r="G16" i="3"/>
  <c r="F16" i="3"/>
  <c r="E16" i="3"/>
  <c r="D16" i="3"/>
  <c r="C16" i="3"/>
  <c r="B16" i="3"/>
  <c r="N15" i="3"/>
  <c r="B41" i="3"/>
  <c r="L38" i="3"/>
  <c r="B48" i="3" l="1"/>
  <c r="C54" i="3"/>
  <c r="D55" i="3" s="1"/>
  <c r="D39" i="3" s="1"/>
  <c r="B51" i="3"/>
  <c r="D33" i="3"/>
  <c r="L32" i="3"/>
  <c r="L34" i="3" s="1"/>
  <c r="L37" i="3" s="1"/>
  <c r="D32" i="3"/>
  <c r="D34" i="3" s="1"/>
  <c r="D37" i="3" s="1"/>
  <c r="L33" i="3"/>
  <c r="K34" i="3"/>
  <c r="K37" i="3" s="1"/>
  <c r="C33" i="3"/>
  <c r="K33" i="3"/>
  <c r="I33" i="3"/>
  <c r="H33" i="3"/>
  <c r="G33" i="3"/>
  <c r="F33" i="3"/>
  <c r="E32" i="3"/>
  <c r="E34" i="3" s="1"/>
  <c r="E37" i="3" s="1"/>
  <c r="G32" i="3"/>
  <c r="G34" i="3" s="1"/>
  <c r="F32" i="3"/>
  <c r="F34" i="3" s="1"/>
  <c r="F37" i="3" s="1"/>
  <c r="C32" i="3"/>
  <c r="I32" i="3"/>
  <c r="I34" i="3" s="1"/>
  <c r="I37" i="3" s="1"/>
  <c r="J32" i="3"/>
  <c r="J34" i="3" s="1"/>
  <c r="J37" i="3" s="1"/>
  <c r="H32" i="3"/>
  <c r="H34" i="3" s="1"/>
  <c r="H37" i="3" s="1"/>
  <c r="D24" i="3"/>
  <c r="H24" i="3"/>
  <c r="H55" i="3"/>
  <c r="H39" i="3" s="1"/>
  <c r="G55" i="3"/>
  <c r="G39" i="3" s="1"/>
  <c r="I55" i="3"/>
  <c r="I39" i="3" s="1"/>
  <c r="J54" i="3"/>
  <c r="J55" i="3" s="1"/>
  <c r="J39" i="3" s="1"/>
  <c r="B24" i="3"/>
  <c r="N17" i="3"/>
  <c r="I24" i="3"/>
  <c r="C24" i="3"/>
  <c r="J24" i="3"/>
  <c r="E24" i="3"/>
  <c r="K24" i="3"/>
  <c r="F24" i="3"/>
  <c r="L24" i="3"/>
  <c r="N16" i="3"/>
  <c r="G24" i="3"/>
  <c r="K54" i="3"/>
  <c r="E54" i="3"/>
  <c r="G37" i="3" l="1"/>
  <c r="G41" i="3" s="1"/>
  <c r="H41" i="3"/>
  <c r="J41" i="3"/>
  <c r="D41" i="3"/>
  <c r="I41" i="3"/>
  <c r="C55" i="3"/>
  <c r="C39" i="3" s="1"/>
  <c r="C34" i="3"/>
  <c r="C37" i="3" s="1"/>
  <c r="B52" i="3"/>
  <c r="B53" i="3" s="1"/>
  <c r="K55" i="3"/>
  <c r="K39" i="3" s="1"/>
  <c r="K41" i="3" s="1"/>
  <c r="L55" i="3"/>
  <c r="L39" i="3" s="1"/>
  <c r="L41" i="3" s="1"/>
  <c r="E55" i="3"/>
  <c r="E39" i="3" s="1"/>
  <c r="E41" i="3" s="1"/>
  <c r="F55" i="3"/>
  <c r="F39" i="3" s="1"/>
  <c r="F41" i="3" s="1"/>
  <c r="N24" i="3"/>
  <c r="C41" i="3" l="1"/>
  <c r="B60" i="3" l="1"/>
  <c r="B59" i="3"/>
  <c r="B67" i="3" s="1"/>
  <c r="B61" i="3"/>
</calcChain>
</file>

<file path=xl/sharedStrings.xml><?xml version="1.0" encoding="utf-8"?>
<sst xmlns="http://schemas.openxmlformats.org/spreadsheetml/2006/main" count="72" uniqueCount="71">
  <si>
    <t>裝潢費用</t>
    <phoneticPr fontId="1" type="noConversion"/>
  </si>
  <si>
    <t>總投資金額</t>
    <phoneticPr fontId="1" type="noConversion"/>
  </si>
  <si>
    <t>稅率</t>
    <phoneticPr fontId="1" type="noConversion"/>
  </si>
  <si>
    <t>NPV</t>
    <phoneticPr fontId="1" type="noConversion"/>
  </si>
  <si>
    <t>IRR</t>
    <phoneticPr fontId="1" type="noConversion"/>
  </si>
  <si>
    <t>每月租金</t>
    <phoneticPr fontId="1" type="noConversion"/>
  </si>
  <si>
    <t>每月工讀生薪資</t>
    <phoneticPr fontId="1" type="noConversion"/>
  </si>
  <si>
    <t>每年營業現金流量</t>
    <phoneticPr fontId="1" type="noConversion"/>
  </si>
  <si>
    <t>銷貨收入</t>
    <phoneticPr fontId="1" type="noConversion"/>
  </si>
  <si>
    <t>變動成本</t>
    <phoneticPr fontId="1" type="noConversion"/>
  </si>
  <si>
    <t>固定成本</t>
    <phoneticPr fontId="1" type="noConversion"/>
  </si>
  <si>
    <t>PI</t>
    <phoneticPr fontId="1" type="noConversion"/>
  </si>
  <si>
    <t>資本支出</t>
    <phoneticPr fontId="1" type="noConversion"/>
  </si>
  <si>
    <t>增額NWC</t>
    <phoneticPr fontId="1" type="noConversion"/>
  </si>
  <si>
    <t>專案總現金流量</t>
    <phoneticPr fontId="1" type="noConversion"/>
  </si>
  <si>
    <t>回收NWC</t>
    <phoneticPr fontId="1" type="noConversion"/>
  </si>
  <si>
    <t>要求報酬率</t>
    <phoneticPr fontId="1" type="noConversion"/>
  </si>
  <si>
    <t>還本期限</t>
    <phoneticPr fontId="1" type="noConversion"/>
  </si>
  <si>
    <t>折現率</t>
    <phoneticPr fontId="1" type="noConversion"/>
  </si>
  <si>
    <t>折現後還本期限</t>
    <phoneticPr fontId="1" type="noConversion"/>
  </si>
  <si>
    <t>以下單位均為美元</t>
    <phoneticPr fontId="1" type="noConversion"/>
  </si>
  <si>
    <t>單人消費均成本</t>
    <phoneticPr fontId="1" type="noConversion"/>
  </si>
  <si>
    <t>工作天數</t>
    <phoneticPr fontId="1" type="noConversion"/>
  </si>
  <si>
    <t>每月水/電雜支</t>
    <phoneticPr fontId="1" type="noConversion"/>
  </si>
  <si>
    <t>大麻單人</t>
    <phoneticPr fontId="1" type="noConversion"/>
  </si>
  <si>
    <t>開始經營年分</t>
    <phoneticPr fontId="1" type="noConversion"/>
  </si>
  <si>
    <t>每天來客數</t>
    <phoneticPr fontId="1" type="noConversion"/>
  </si>
  <si>
    <t>每年營業額</t>
    <phoneticPr fontId="1" type="noConversion"/>
  </si>
  <si>
    <t xml:space="preserve">預定到美國加州租店面，預計租27000/月的店面並以120000作為裝潢的費用，此店面為獨立商家沒有加盟金的費用，初期存放40000作為周轉費用。
人事成本(正職兩人和工讀生採輪班制)每月9500，水電預估共1000，產品的進貨成本預定為每月60000，其他沒有詳列的成本2500，若沒有使用則可以節省作為其他用途或增加周轉費用。
因為大麻不像其他食品類的可以做初期嘗鮮的衝刺，因此第1年保守估計日來客數量以40人計，接著接下來兩年皆成長10人，接著因為顧客穩定回流所以可量就維持在飽和的60人，到後期可能因為更多品牌的產生因此降低人流，每人平均消費保守估以90計，之後營運的資金較少，因為需要較大量花費的裝潢可以不需要再投注資金，而稅金扣除人員支出以及折舊費用後經過查詢估計稅率為36%，折現率採20%直線折現率，之後每年所需營運資金為當年度營業收入的3%。
假定報酬為每月20%，因為大麻相對其他產業有著更高的風險，因此必須估計更高的收入才能平衡。
</t>
    <phoneticPr fontId="1" type="noConversion"/>
  </si>
  <si>
    <t>月份</t>
    <phoneticPr fontId="6" type="noConversion"/>
  </si>
  <si>
    <t>合計</t>
    <phoneticPr fontId="6" type="noConversion"/>
  </si>
  <si>
    <t>營業天數</t>
    <phoneticPr fontId="6" type="noConversion"/>
  </si>
  <si>
    <t>營業額</t>
    <phoneticPr fontId="6" type="noConversion"/>
  </si>
  <si>
    <t>原料成本</t>
    <phoneticPr fontId="6" type="noConversion"/>
  </si>
  <si>
    <t>水電費</t>
    <phoneticPr fontId="6" type="noConversion"/>
  </si>
  <si>
    <t>其他費用</t>
    <phoneticPr fontId="6" type="noConversion"/>
  </si>
  <si>
    <t>人事成本</t>
    <phoneticPr fontId="6" type="noConversion"/>
  </si>
  <si>
    <t>租金</t>
    <phoneticPr fontId="6" type="noConversion"/>
  </si>
  <si>
    <t>裝潢費/生財器具攤提</t>
    <phoneticPr fontId="6" type="noConversion"/>
  </si>
  <si>
    <t>稅(36%)</t>
    <phoneticPr fontId="6" type="noConversion"/>
  </si>
  <si>
    <t>獲利</t>
    <phoneticPr fontId="6" type="noConversion"/>
  </si>
  <si>
    <t>年分</t>
    <phoneticPr fontId="6" type="noConversion"/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</si>
  <si>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</si>
  <si>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</si>
  <si>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</si>
  <si>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</si>
  <si>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</si>
  <si>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</si>
  <si>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</si>
  <si>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</si>
  <si>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</si>
  <si>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</si>
  <si>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日來客數</t>
    <phoneticPr fontId="6" type="noConversion"/>
  </si>
  <si>
    <t>變動影響</t>
    <phoneticPr fontId="6" type="noConversion"/>
  </si>
  <si>
    <t>說明</t>
    <phoneticPr fontId="6" type="noConversion"/>
  </si>
  <si>
    <t>初期吸引客群</t>
    <phoneticPr fontId="6" type="noConversion"/>
  </si>
  <si>
    <t>市場飽和</t>
    <phoneticPr fontId="6" type="noConversion"/>
  </si>
  <si>
    <t>市場競爭加劇慢慢衰退</t>
    <phoneticPr fontId="6" type="noConversion"/>
  </si>
  <si>
    <t>收入</t>
    <phoneticPr fontId="6" type="noConversion"/>
  </si>
  <si>
    <t>變動成本</t>
    <phoneticPr fontId="6" type="noConversion"/>
  </si>
  <si>
    <t>固定成本</t>
    <phoneticPr fontId="6" type="noConversion"/>
  </si>
  <si>
    <t>稅前淨利</t>
    <phoneticPr fontId="6" type="noConversion"/>
  </si>
  <si>
    <t>稅額</t>
    <phoneticPr fontId="6" type="noConversion"/>
  </si>
  <si>
    <t>稅後盈餘</t>
    <phoneticPr fontId="6" type="noConversion"/>
  </si>
  <si>
    <t>淨營運資金</t>
    <phoneticPr fontId="6" type="noConversion"/>
  </si>
  <si>
    <t>稅後獲利</t>
    <phoneticPr fontId="6" type="noConversion"/>
  </si>
  <si>
    <t>稅</t>
    <phoneticPr fontId="1" type="noConversion"/>
  </si>
  <si>
    <t>折舊後剩餘價值</t>
    <phoneticPr fontId="6" type="noConversion"/>
  </si>
  <si>
    <t>敏感性分析</t>
    <phoneticPr fontId="1" type="noConversion"/>
  </si>
  <si>
    <t>來客人數</t>
    <phoneticPr fontId="1" type="noConversion"/>
  </si>
  <si>
    <t>商品價格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</si>
</sst>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#,##0_ ;[Red]\-#,##0\ "/>
    <numFmt numFmtId="178" formatCode="0.00_ "/>
    <numFmt numFmtId="179" formatCode="#,##0_);[Red]\(#,##0\)"/>
    <numFmt numFmtId="180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36"/>
      <color theme="1"/>
      <name val="新細明體"/>
      <family val="1"/>
      <scheme val="minor"/>
    </font>
    <font>
      <b/>
      <sz val="12"/>
      <color theme="1"/>
      <name val="標楷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3" borderId="0" xfId="2">
      <alignment vertical="center"/>
    </xf>
    <xf numFmtId="0" fontId="0" fillId="0" borderId="0" xfId="0" applyNumberFormat="1">
      <alignment vertical="center"/>
    </xf>
    <xf numFmtId="0" fontId="2" fillId="3" borderId="0" xfId="2" applyAlignment="1"/>
    <xf numFmtId="0" fontId="3" fillId="2" borderId="0" xfId="1" applyAlignment="1"/>
    <xf numFmtId="0" fontId="2" fillId="4" borderId="0" xfId="3" applyAlignment="1"/>
    <xf numFmtId="38" fontId="0" fillId="0" borderId="0" xfId="0" applyNumberFormat="1" applyAlignment="1"/>
    <xf numFmtId="0" fontId="0" fillId="0" borderId="0" xfId="0" applyAlignment="1"/>
    <xf numFmtId="177" fontId="0" fillId="0" borderId="0" xfId="0" applyNumberFormat="1" applyAlignment="1"/>
    <xf numFmtId="179" fontId="0" fillId="0" borderId="0" xfId="0" applyNumberFormat="1" applyAlignment="1">
      <alignment horizontal="right"/>
    </xf>
    <xf numFmtId="3" fontId="0" fillId="0" borderId="0" xfId="0" applyNumberFormat="1" applyAlignment="1"/>
    <xf numFmtId="180" fontId="0" fillId="0" borderId="0" xfId="0" applyNumberFormat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8" fontId="0" fillId="0" borderId="0" xfId="0" applyNumberFormat="1">
      <alignment vertical="center"/>
    </xf>
    <xf numFmtId="179" fontId="0" fillId="0" borderId="0" xfId="0" applyNumberFormat="1" applyAlignment="1"/>
    <xf numFmtId="0" fontId="3" fillId="2" borderId="0" xfId="1">
      <alignment vertical="center"/>
    </xf>
    <xf numFmtId="0" fontId="5" fillId="0" borderId="0" xfId="0" applyFont="1" applyAlignment="1">
      <alignment horizontal="center" vertical="center" wrapText="1"/>
    </xf>
    <xf numFmtId="180" fontId="0" fillId="0" borderId="0" xfId="0" applyNumberFormat="1">
      <alignment vertical="center"/>
    </xf>
  </cellXfs>
  <cellStyles count="4">
    <cellStyle name="20% - 輔色1" xfId="2" builtinId="30"/>
    <cellStyle name="20% - 輔色4" xfId="3" builtinId="42"/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topLeftCell="A59" zoomScale="91" workbookViewId="0">
      <selection activeCell="H74" sqref="H74"/>
    </sheetView>
  </sheetViews>
  <sheetFormatPr defaultRowHeight="16.2" x14ac:dyDescent="0.3"/>
  <cols>
    <col min="1" max="1" width="23.21875" bestFit="1" customWidth="1"/>
    <col min="2" max="2" width="11.33203125" bestFit="1" customWidth="1"/>
    <col min="3" max="4" width="10.21875" bestFit="1" customWidth="1"/>
    <col min="5" max="10" width="11" bestFit="1" customWidth="1"/>
    <col min="11" max="12" width="10.21875" bestFit="1" customWidth="1"/>
    <col min="13" max="13" width="8.109375" bestFit="1" customWidth="1"/>
    <col min="14" max="14" width="9.6640625" bestFit="1" customWidth="1"/>
    <col min="15" max="15" width="7.77734375" bestFit="1" customWidth="1"/>
    <col min="16" max="25" width="7.44140625" bestFit="1" customWidth="1"/>
  </cols>
  <sheetData>
    <row r="1" spans="1:14" ht="54.75" customHeight="1" x14ac:dyDescent="0.3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4.8" customHeight="1" x14ac:dyDescent="0.3">
      <c r="A2" s="21" t="s">
        <v>28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3">
      <c r="A3" s="5" t="s">
        <v>24</v>
      </c>
      <c r="B3">
        <v>90</v>
      </c>
    </row>
    <row r="4" spans="1:14" x14ac:dyDescent="0.3">
      <c r="A4" s="5" t="s">
        <v>21</v>
      </c>
      <c r="B4">
        <v>50</v>
      </c>
    </row>
    <row r="5" spans="1:14" x14ac:dyDescent="0.3">
      <c r="A5" s="5" t="s">
        <v>22</v>
      </c>
      <c r="B5">
        <v>365</v>
      </c>
    </row>
    <row r="6" spans="1:14" x14ac:dyDescent="0.3">
      <c r="A6" s="5" t="s">
        <v>23</v>
      </c>
      <c r="B6">
        <v>1000</v>
      </c>
    </row>
    <row r="7" spans="1:14" x14ac:dyDescent="0.3">
      <c r="A7" s="5" t="s">
        <v>5</v>
      </c>
      <c r="B7">
        <v>27000</v>
      </c>
    </row>
    <row r="8" spans="1:14" x14ac:dyDescent="0.3">
      <c r="A8" s="5" t="s">
        <v>6</v>
      </c>
      <c r="B8">
        <v>9500</v>
      </c>
    </row>
    <row r="9" spans="1:14" x14ac:dyDescent="0.3">
      <c r="A9" s="5" t="s">
        <v>0</v>
      </c>
      <c r="B9">
        <v>120000</v>
      </c>
    </row>
    <row r="10" spans="1:14" x14ac:dyDescent="0.3">
      <c r="A10" s="5" t="s">
        <v>1</v>
      </c>
      <c r="B10">
        <v>250000</v>
      </c>
    </row>
    <row r="11" spans="1:14" x14ac:dyDescent="0.3">
      <c r="A11" s="5" t="s">
        <v>2</v>
      </c>
      <c r="B11" s="1">
        <v>0.15</v>
      </c>
    </row>
    <row r="12" spans="1:14" x14ac:dyDescent="0.3">
      <c r="A12" s="5" t="s">
        <v>16</v>
      </c>
      <c r="B12" s="1">
        <v>0.2</v>
      </c>
    </row>
    <row r="13" spans="1:1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x14ac:dyDescent="0.3">
      <c r="A14" s="7" t="s">
        <v>29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  <c r="L14" s="8">
        <v>11</v>
      </c>
      <c r="M14" s="8">
        <v>12</v>
      </c>
      <c r="N14" s="7" t="s">
        <v>30</v>
      </c>
    </row>
    <row r="15" spans="1:14" x14ac:dyDescent="0.3">
      <c r="A15" s="7" t="s">
        <v>31</v>
      </c>
      <c r="B15" s="9">
        <v>31</v>
      </c>
      <c r="C15" s="9">
        <v>28</v>
      </c>
      <c r="D15" s="9">
        <v>31</v>
      </c>
      <c r="E15" s="9">
        <v>30</v>
      </c>
      <c r="F15" s="9">
        <v>31</v>
      </c>
      <c r="G15" s="9">
        <v>30</v>
      </c>
      <c r="H15" s="9">
        <v>31</v>
      </c>
      <c r="I15" s="9">
        <v>31</v>
      </c>
      <c r="J15" s="9">
        <v>30</v>
      </c>
      <c r="K15" s="9">
        <v>31</v>
      </c>
      <c r="L15" s="9">
        <v>30</v>
      </c>
      <c r="M15" s="9">
        <v>31</v>
      </c>
      <c r="N15" s="9">
        <f t="shared" ref="N15:N22" si="0">SUM(B15:M15)</f>
        <v>365</v>
      </c>
    </row>
    <row r="16" spans="1:14" x14ac:dyDescent="0.3">
      <c r="A16" s="7" t="s">
        <v>32</v>
      </c>
      <c r="B16" s="10">
        <f t="shared" ref="B16:M16" si="1">90*40*B15</f>
        <v>111600</v>
      </c>
      <c r="C16" s="10">
        <f t="shared" si="1"/>
        <v>100800</v>
      </c>
      <c r="D16" s="10">
        <f t="shared" si="1"/>
        <v>111600</v>
      </c>
      <c r="E16" s="10">
        <f t="shared" si="1"/>
        <v>108000</v>
      </c>
      <c r="F16" s="10">
        <f t="shared" si="1"/>
        <v>111600</v>
      </c>
      <c r="G16" s="10">
        <f t="shared" si="1"/>
        <v>108000</v>
      </c>
      <c r="H16" s="10">
        <f t="shared" si="1"/>
        <v>111600</v>
      </c>
      <c r="I16" s="10">
        <f t="shared" si="1"/>
        <v>111600</v>
      </c>
      <c r="J16" s="10">
        <f t="shared" si="1"/>
        <v>108000</v>
      </c>
      <c r="K16" s="10">
        <f t="shared" si="1"/>
        <v>111600</v>
      </c>
      <c r="L16" s="10">
        <f t="shared" si="1"/>
        <v>108000</v>
      </c>
      <c r="M16" s="10">
        <f t="shared" si="1"/>
        <v>111600</v>
      </c>
      <c r="N16" s="10">
        <f t="shared" si="0"/>
        <v>1314000</v>
      </c>
    </row>
    <row r="17" spans="1:25" x14ac:dyDescent="0.3">
      <c r="A17" s="7" t="s">
        <v>33</v>
      </c>
      <c r="B17" s="10">
        <f>50*40*B15*(-1)</f>
        <v>-62000</v>
      </c>
      <c r="C17" s="10">
        <f t="shared" ref="C17:M17" si="2">50*40*C15*(-1)</f>
        <v>-56000</v>
      </c>
      <c r="D17" s="10">
        <f t="shared" si="2"/>
        <v>-62000</v>
      </c>
      <c r="E17" s="10">
        <f t="shared" si="2"/>
        <v>-60000</v>
      </c>
      <c r="F17" s="10">
        <f t="shared" si="2"/>
        <v>-62000</v>
      </c>
      <c r="G17" s="10">
        <f t="shared" si="2"/>
        <v>-60000</v>
      </c>
      <c r="H17" s="10">
        <f t="shared" si="2"/>
        <v>-62000</v>
      </c>
      <c r="I17" s="10">
        <f t="shared" si="2"/>
        <v>-62000</v>
      </c>
      <c r="J17" s="10">
        <f t="shared" si="2"/>
        <v>-60000</v>
      </c>
      <c r="K17" s="10">
        <f t="shared" si="2"/>
        <v>-62000</v>
      </c>
      <c r="L17" s="10">
        <f t="shared" si="2"/>
        <v>-60000</v>
      </c>
      <c r="M17" s="10">
        <f t="shared" si="2"/>
        <v>-62000</v>
      </c>
      <c r="N17" s="10">
        <f t="shared" si="0"/>
        <v>-730000</v>
      </c>
    </row>
    <row r="18" spans="1:25" x14ac:dyDescent="0.3">
      <c r="A18" s="7" t="s">
        <v>34</v>
      </c>
      <c r="B18" s="10">
        <v>-1000</v>
      </c>
      <c r="C18" s="10">
        <v>-1000</v>
      </c>
      <c r="D18" s="10">
        <v>-1000</v>
      </c>
      <c r="E18" s="10">
        <v>-1000</v>
      </c>
      <c r="F18" s="10">
        <v>-1000</v>
      </c>
      <c r="G18" s="10">
        <v>-1000</v>
      </c>
      <c r="H18" s="10">
        <v>-1000</v>
      </c>
      <c r="I18" s="10">
        <v>-1000</v>
      </c>
      <c r="J18" s="10">
        <v>-1000</v>
      </c>
      <c r="K18" s="10">
        <v>-1000</v>
      </c>
      <c r="L18" s="10">
        <v>-1000</v>
      </c>
      <c r="M18" s="10">
        <v>-1000</v>
      </c>
      <c r="N18" s="10">
        <f t="shared" si="0"/>
        <v>-12000</v>
      </c>
    </row>
    <row r="19" spans="1:25" x14ac:dyDescent="0.3">
      <c r="A19" s="7" t="s">
        <v>35</v>
      </c>
      <c r="B19" s="10">
        <v>-2500</v>
      </c>
      <c r="C19" s="10">
        <v>-2500</v>
      </c>
      <c r="D19" s="10">
        <v>-2500</v>
      </c>
      <c r="E19" s="10">
        <v>-2500</v>
      </c>
      <c r="F19" s="10">
        <v>-2500</v>
      </c>
      <c r="G19" s="10">
        <v>-2500</v>
      </c>
      <c r="H19" s="10">
        <v>-2500</v>
      </c>
      <c r="I19" s="10">
        <v>-2500</v>
      </c>
      <c r="J19" s="10">
        <v>-2500</v>
      </c>
      <c r="K19" s="10">
        <v>-2500</v>
      </c>
      <c r="L19" s="10">
        <v>-2500</v>
      </c>
      <c r="M19" s="10">
        <v>-2500</v>
      </c>
      <c r="N19" s="10">
        <f t="shared" si="0"/>
        <v>-30000</v>
      </c>
    </row>
    <row r="20" spans="1:25" x14ac:dyDescent="0.3">
      <c r="A20" s="7" t="s">
        <v>36</v>
      </c>
      <c r="B20" s="10">
        <v>-9500</v>
      </c>
      <c r="C20" s="10">
        <v>-9500</v>
      </c>
      <c r="D20" s="10">
        <v>-9500</v>
      </c>
      <c r="E20" s="10">
        <v>-9500</v>
      </c>
      <c r="F20" s="10">
        <v>-9500</v>
      </c>
      <c r="G20" s="10">
        <v>-9500</v>
      </c>
      <c r="H20" s="10">
        <v>-9500</v>
      </c>
      <c r="I20" s="10">
        <v>-9500</v>
      </c>
      <c r="J20" s="10">
        <v>-9500</v>
      </c>
      <c r="K20" s="10">
        <v>-9500</v>
      </c>
      <c r="L20" s="10">
        <v>-9500</v>
      </c>
      <c r="M20" s="10">
        <v>-9500</v>
      </c>
      <c r="N20" s="10">
        <f t="shared" si="0"/>
        <v>-114000</v>
      </c>
    </row>
    <row r="21" spans="1:25" x14ac:dyDescent="0.3">
      <c r="A21" s="7" t="s">
        <v>37</v>
      </c>
      <c r="B21" s="10">
        <v>-27000</v>
      </c>
      <c r="C21" s="10">
        <v>-27000</v>
      </c>
      <c r="D21" s="10">
        <v>-27000</v>
      </c>
      <c r="E21" s="10">
        <v>-27000</v>
      </c>
      <c r="F21" s="10">
        <v>-27000</v>
      </c>
      <c r="G21" s="10">
        <v>-27000</v>
      </c>
      <c r="H21" s="10">
        <v>-27000</v>
      </c>
      <c r="I21" s="10">
        <v>-27000</v>
      </c>
      <c r="J21" s="10">
        <v>-27000</v>
      </c>
      <c r="K21" s="10">
        <v>-27000</v>
      </c>
      <c r="L21" s="10">
        <v>-27000</v>
      </c>
      <c r="M21" s="10">
        <v>-27000</v>
      </c>
      <c r="N21" s="10">
        <f t="shared" si="0"/>
        <v>-324000</v>
      </c>
    </row>
    <row r="22" spans="1:25" x14ac:dyDescent="0.3">
      <c r="A22" s="7" t="s">
        <v>38</v>
      </c>
      <c r="B22" s="10">
        <v>-1000</v>
      </c>
      <c r="C22" s="10">
        <v>-1000</v>
      </c>
      <c r="D22" s="10">
        <v>-1000</v>
      </c>
      <c r="E22" s="10">
        <v>-1000</v>
      </c>
      <c r="F22" s="10">
        <v>-1000</v>
      </c>
      <c r="G22" s="10">
        <v>-1000</v>
      </c>
      <c r="H22" s="10">
        <v>-1000</v>
      </c>
      <c r="I22" s="10">
        <v>-1000</v>
      </c>
      <c r="J22" s="10">
        <v>-1000</v>
      </c>
      <c r="K22" s="10">
        <v>-1000</v>
      </c>
      <c r="L22" s="10">
        <v>-1000</v>
      </c>
      <c r="M22" s="10">
        <v>-1000</v>
      </c>
      <c r="N22" s="10">
        <f t="shared" si="0"/>
        <v>-12000</v>
      </c>
    </row>
    <row r="23" spans="1:25" x14ac:dyDescent="0.3">
      <c r="A23" s="7" t="s">
        <v>39</v>
      </c>
      <c r="B23" s="10">
        <f>-SUM(B16:B22)*0.36</f>
        <v>-3096</v>
      </c>
      <c r="C23" s="10">
        <f t="shared" ref="C23:N23" si="3">-SUM(C16:C22)*0.36</f>
        <v>-1368</v>
      </c>
      <c r="D23" s="10">
        <f t="shared" si="3"/>
        <v>-3096</v>
      </c>
      <c r="E23" s="10">
        <f t="shared" si="3"/>
        <v>-2520</v>
      </c>
      <c r="F23" s="10">
        <f t="shared" si="3"/>
        <v>-3096</v>
      </c>
      <c r="G23" s="10">
        <f t="shared" si="3"/>
        <v>-2520</v>
      </c>
      <c r="H23" s="10">
        <f t="shared" si="3"/>
        <v>-3096</v>
      </c>
      <c r="I23" s="10">
        <f t="shared" si="3"/>
        <v>-3096</v>
      </c>
      <c r="J23" s="10">
        <f t="shared" si="3"/>
        <v>-2520</v>
      </c>
      <c r="K23" s="10">
        <f t="shared" si="3"/>
        <v>-3096</v>
      </c>
      <c r="L23" s="10">
        <f t="shared" si="3"/>
        <v>-2520</v>
      </c>
      <c r="M23" s="10">
        <f t="shared" si="3"/>
        <v>-3096</v>
      </c>
      <c r="N23" s="10">
        <f>-SUM(N16:N22)*0.36</f>
        <v>-33120</v>
      </c>
      <c r="O23" s="18"/>
    </row>
    <row r="24" spans="1:25" x14ac:dyDescent="0.3">
      <c r="A24" s="7" t="s">
        <v>40</v>
      </c>
      <c r="B24" s="10">
        <f t="shared" ref="B24:M24" si="4">SUM(B16:B23)+B22</f>
        <v>4504</v>
      </c>
      <c r="C24" s="10">
        <f t="shared" si="4"/>
        <v>1432</v>
      </c>
      <c r="D24" s="10">
        <f t="shared" si="4"/>
        <v>4504</v>
      </c>
      <c r="E24" s="10">
        <f t="shared" si="4"/>
        <v>3480</v>
      </c>
      <c r="F24" s="10">
        <f t="shared" si="4"/>
        <v>4504</v>
      </c>
      <c r="G24" s="10">
        <f t="shared" si="4"/>
        <v>3480</v>
      </c>
      <c r="H24" s="10">
        <f t="shared" si="4"/>
        <v>4504</v>
      </c>
      <c r="I24" s="10">
        <f t="shared" si="4"/>
        <v>4504</v>
      </c>
      <c r="J24" s="10">
        <f t="shared" si="4"/>
        <v>3480</v>
      </c>
      <c r="K24" s="10">
        <f t="shared" si="4"/>
        <v>4504</v>
      </c>
      <c r="L24" s="10">
        <f t="shared" si="4"/>
        <v>3480</v>
      </c>
      <c r="M24" s="10">
        <f>SUM(M16:M23)+M22</f>
        <v>4504</v>
      </c>
      <c r="N24" s="10">
        <f>SUM(N16:N23)+N22</f>
        <v>46880</v>
      </c>
    </row>
    <row r="25" spans="1:25" x14ac:dyDescent="0.3">
      <c r="B25" s="1"/>
    </row>
    <row r="26" spans="1:25" x14ac:dyDescent="0.3">
      <c r="A26" s="5" t="s">
        <v>25</v>
      </c>
      <c r="B26" s="6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5" t="s">
        <v>26</v>
      </c>
      <c r="C27" s="3">
        <v>40</v>
      </c>
      <c r="D27" s="3">
        <v>50</v>
      </c>
      <c r="E27" s="3">
        <v>60</v>
      </c>
      <c r="F27" s="3">
        <v>60</v>
      </c>
      <c r="G27" s="3">
        <v>60</v>
      </c>
      <c r="H27" s="3">
        <v>60</v>
      </c>
      <c r="I27">
        <v>60</v>
      </c>
      <c r="J27">
        <v>60</v>
      </c>
      <c r="K27" s="3">
        <v>50</v>
      </c>
      <c r="L27">
        <v>40</v>
      </c>
    </row>
    <row r="28" spans="1:25" x14ac:dyDescent="0.3">
      <c r="A28" s="7" t="s">
        <v>53</v>
      </c>
      <c r="B28" s="11"/>
      <c r="C28" s="11">
        <f>C44/L44</f>
        <v>1</v>
      </c>
      <c r="D28" s="11">
        <f t="shared" ref="D28:L28" si="5">D44/$C$44</f>
        <v>1.25</v>
      </c>
      <c r="E28" s="11">
        <f t="shared" si="5"/>
        <v>1.5</v>
      </c>
      <c r="F28" s="11">
        <f t="shared" si="5"/>
        <v>1.5</v>
      </c>
      <c r="G28" s="11">
        <f t="shared" si="5"/>
        <v>1.5</v>
      </c>
      <c r="H28" s="11">
        <f t="shared" si="5"/>
        <v>1.5</v>
      </c>
      <c r="I28" s="11">
        <f t="shared" si="5"/>
        <v>1.5</v>
      </c>
      <c r="J28" s="11">
        <f t="shared" si="5"/>
        <v>1.5</v>
      </c>
      <c r="K28" s="11">
        <f t="shared" si="5"/>
        <v>1.25</v>
      </c>
      <c r="L28" s="11">
        <f t="shared" si="5"/>
        <v>1</v>
      </c>
      <c r="M28" s="11"/>
      <c r="N28" s="11"/>
    </row>
    <row r="29" spans="1:25" x14ac:dyDescent="0.3">
      <c r="A29" s="5" t="s">
        <v>8</v>
      </c>
      <c r="B29" s="3"/>
      <c r="C29" s="3">
        <f t="shared" ref="C29:L29" si="6">C27*$B$3*365</f>
        <v>1314000</v>
      </c>
      <c r="D29" s="3">
        <f t="shared" si="6"/>
        <v>1642500</v>
      </c>
      <c r="E29" s="3">
        <f t="shared" si="6"/>
        <v>1971000</v>
      </c>
      <c r="F29" s="3">
        <f t="shared" si="6"/>
        <v>1971000</v>
      </c>
      <c r="G29" s="3">
        <f t="shared" si="6"/>
        <v>1971000</v>
      </c>
      <c r="H29" s="3">
        <f t="shared" si="6"/>
        <v>1971000</v>
      </c>
      <c r="I29" s="3">
        <f t="shared" si="6"/>
        <v>1971000</v>
      </c>
      <c r="J29" s="3">
        <f t="shared" si="6"/>
        <v>1971000</v>
      </c>
      <c r="K29" s="3">
        <f t="shared" si="6"/>
        <v>1642500</v>
      </c>
      <c r="L29" s="3">
        <f t="shared" si="6"/>
        <v>1314000</v>
      </c>
      <c r="M29" s="3"/>
      <c r="N29" s="3"/>
      <c r="O29" s="3"/>
    </row>
    <row r="30" spans="1:25" x14ac:dyDescent="0.3">
      <c r="A30" s="5" t="s">
        <v>10</v>
      </c>
      <c r="B30" s="3"/>
      <c r="C30" s="3">
        <f>$N$18+$N$20+$N$21+$N$19</f>
        <v>-480000</v>
      </c>
      <c r="D30" s="3">
        <f t="shared" ref="D30:L30" si="7">$N$18+$N$20+$N$21+$N$19</f>
        <v>-480000</v>
      </c>
      <c r="E30" s="3">
        <f t="shared" si="7"/>
        <v>-480000</v>
      </c>
      <c r="F30" s="3">
        <f t="shared" si="7"/>
        <v>-480000</v>
      </c>
      <c r="G30" s="3">
        <f t="shared" si="7"/>
        <v>-480000</v>
      </c>
      <c r="H30" s="3">
        <f t="shared" si="7"/>
        <v>-480000</v>
      </c>
      <c r="I30" s="3">
        <f t="shared" si="7"/>
        <v>-480000</v>
      </c>
      <c r="J30" s="3">
        <f t="shared" si="7"/>
        <v>-480000</v>
      </c>
      <c r="K30" s="3">
        <f t="shared" si="7"/>
        <v>-480000</v>
      </c>
      <c r="L30" s="3">
        <f t="shared" si="7"/>
        <v>-480000</v>
      </c>
    </row>
    <row r="31" spans="1:25" x14ac:dyDescent="0.3">
      <c r="A31" s="5" t="s">
        <v>9</v>
      </c>
      <c r="B31" s="3"/>
      <c r="C31" s="3">
        <f>$N$17/40*C27</f>
        <v>-730000</v>
      </c>
      <c r="D31" s="3">
        <f t="shared" ref="D31:L31" si="8">$N$17/40*D27</f>
        <v>-912500</v>
      </c>
      <c r="E31" s="3">
        <f t="shared" si="8"/>
        <v>-1095000</v>
      </c>
      <c r="F31" s="3">
        <f t="shared" si="8"/>
        <v>-1095000</v>
      </c>
      <c r="G31" s="3">
        <f t="shared" si="8"/>
        <v>-1095000</v>
      </c>
      <c r="H31" s="3">
        <f t="shared" si="8"/>
        <v>-1095000</v>
      </c>
      <c r="I31" s="3">
        <f t="shared" si="8"/>
        <v>-1095000</v>
      </c>
      <c r="J31" s="3">
        <f t="shared" si="8"/>
        <v>-1095000</v>
      </c>
      <c r="K31" s="3">
        <f t="shared" si="8"/>
        <v>-912500</v>
      </c>
      <c r="L31" s="3">
        <f t="shared" si="8"/>
        <v>-730000</v>
      </c>
    </row>
    <row r="32" spans="1:25" x14ac:dyDescent="0.3">
      <c r="A32" s="5" t="s">
        <v>66</v>
      </c>
      <c r="B32" s="3"/>
      <c r="C32" s="3">
        <f>-(C29+C30+C31+$N$22)*0.36</f>
        <v>-33120</v>
      </c>
      <c r="D32" s="3">
        <f t="shared" ref="D32:L32" si="9">-(D29+D30+D31+$N$22)*0.36</f>
        <v>-85680</v>
      </c>
      <c r="E32" s="3">
        <f t="shared" si="9"/>
        <v>-138240</v>
      </c>
      <c r="F32" s="3">
        <f t="shared" si="9"/>
        <v>-138240</v>
      </c>
      <c r="G32" s="3">
        <f t="shared" si="9"/>
        <v>-138240</v>
      </c>
      <c r="H32" s="3">
        <f t="shared" si="9"/>
        <v>-138240</v>
      </c>
      <c r="I32" s="3">
        <f t="shared" si="9"/>
        <v>-138240</v>
      </c>
      <c r="J32" s="3">
        <f t="shared" si="9"/>
        <v>-138240</v>
      </c>
      <c r="K32" s="3">
        <f t="shared" si="9"/>
        <v>-85680</v>
      </c>
      <c r="L32" s="3">
        <f t="shared" si="9"/>
        <v>-33120</v>
      </c>
    </row>
    <row r="33" spans="1:14" x14ac:dyDescent="0.3">
      <c r="A33" s="5" t="s">
        <v>27</v>
      </c>
      <c r="B33" s="3"/>
      <c r="C33" s="3">
        <f>C29+C31+C30</f>
        <v>104000</v>
      </c>
      <c r="D33" s="3">
        <f>D29+D31+D30</f>
        <v>250000</v>
      </c>
      <c r="E33" s="3">
        <f>E29+E31+E30</f>
        <v>396000</v>
      </c>
      <c r="F33" s="3">
        <f>F29+F31+F30</f>
        <v>396000</v>
      </c>
      <c r="G33" s="3">
        <f>G29+G31+G30</f>
        <v>396000</v>
      </c>
      <c r="H33" s="3">
        <f>H29+H31+H30</f>
        <v>396000</v>
      </c>
      <c r="I33" s="3">
        <f>I29+I31+I30</f>
        <v>396000</v>
      </c>
      <c r="J33" s="3">
        <f>J29+J31+J30</f>
        <v>396000</v>
      </c>
      <c r="K33" s="3">
        <f>K29+K31+K30</f>
        <v>250000</v>
      </c>
      <c r="L33" s="3">
        <f>L29+L31+L30</f>
        <v>104000</v>
      </c>
    </row>
    <row r="34" spans="1:14" x14ac:dyDescent="0.3">
      <c r="A34" s="7" t="s">
        <v>65</v>
      </c>
      <c r="B34" s="11"/>
      <c r="C34" s="13">
        <f>SUM(C29:C32)</f>
        <v>70880</v>
      </c>
      <c r="D34" s="13">
        <f t="shared" ref="D34:L34" si="10">SUM(D29:D32)</f>
        <v>164320</v>
      </c>
      <c r="E34" s="13">
        <f t="shared" si="10"/>
        <v>257760</v>
      </c>
      <c r="F34" s="13">
        <f t="shared" si="10"/>
        <v>257760</v>
      </c>
      <c r="G34" s="13">
        <f t="shared" si="10"/>
        <v>257760</v>
      </c>
      <c r="H34" s="13">
        <f t="shared" si="10"/>
        <v>257760</v>
      </c>
      <c r="I34" s="13">
        <f t="shared" si="10"/>
        <v>257760</v>
      </c>
      <c r="J34" s="13">
        <f t="shared" si="10"/>
        <v>257760</v>
      </c>
      <c r="K34" s="13">
        <f t="shared" si="10"/>
        <v>164320</v>
      </c>
      <c r="L34" s="13">
        <f t="shared" si="10"/>
        <v>70880</v>
      </c>
      <c r="M34" s="11"/>
      <c r="N34" s="11"/>
    </row>
    <row r="35" spans="1:14" x14ac:dyDescent="0.3">
      <c r="A35" s="7" t="s">
        <v>54</v>
      </c>
      <c r="B35" s="11"/>
      <c r="C35" s="17" t="s">
        <v>55</v>
      </c>
      <c r="D35" s="17"/>
      <c r="E35" s="17"/>
      <c r="F35" s="17" t="s">
        <v>56</v>
      </c>
      <c r="G35" s="17"/>
      <c r="H35" s="17"/>
      <c r="I35" s="17"/>
      <c r="J35" s="17" t="s">
        <v>57</v>
      </c>
      <c r="K35" s="17"/>
      <c r="L35" s="17"/>
      <c r="M35" s="11"/>
      <c r="N35" s="11"/>
    </row>
    <row r="36" spans="1:14" x14ac:dyDescent="0.3">
      <c r="B36" s="3"/>
      <c r="C36" s="3"/>
      <c r="D36" s="3"/>
      <c r="E36" s="3"/>
      <c r="F36" s="3"/>
      <c r="G36" s="3"/>
    </row>
    <row r="37" spans="1:14" x14ac:dyDescent="0.3">
      <c r="A37" s="5" t="s">
        <v>7</v>
      </c>
      <c r="B37" s="3"/>
      <c r="C37" s="3">
        <f>C34</f>
        <v>70880</v>
      </c>
      <c r="D37" s="3">
        <f t="shared" ref="D37:L37" si="11">D34</f>
        <v>164320</v>
      </c>
      <c r="E37" s="3">
        <f t="shared" si="11"/>
        <v>257760</v>
      </c>
      <c r="F37" s="3">
        <f t="shared" si="11"/>
        <v>257760</v>
      </c>
      <c r="G37" s="3">
        <f t="shared" si="11"/>
        <v>257760</v>
      </c>
      <c r="H37" s="3">
        <f t="shared" si="11"/>
        <v>257760</v>
      </c>
      <c r="I37" s="3">
        <f t="shared" si="11"/>
        <v>257760</v>
      </c>
      <c r="J37" s="3">
        <f t="shared" si="11"/>
        <v>257760</v>
      </c>
      <c r="K37" s="3">
        <f t="shared" si="11"/>
        <v>164320</v>
      </c>
      <c r="L37" s="3">
        <f t="shared" si="11"/>
        <v>70880</v>
      </c>
    </row>
    <row r="38" spans="1:14" x14ac:dyDescent="0.3">
      <c r="A38" s="5" t="s">
        <v>12</v>
      </c>
      <c r="B38" s="3">
        <v>-120000</v>
      </c>
      <c r="C38" s="3"/>
      <c r="D38" s="3"/>
      <c r="E38" s="3"/>
      <c r="F38" s="3"/>
      <c r="L38" s="3">
        <f>200000+15000*(1-B11)</f>
        <v>212750</v>
      </c>
    </row>
    <row r="39" spans="1:14" x14ac:dyDescent="0.3">
      <c r="A39" s="5" t="s">
        <v>13</v>
      </c>
      <c r="B39" s="3">
        <v>-40000</v>
      </c>
      <c r="C39" s="3">
        <f>-C55</f>
        <v>580</v>
      </c>
      <c r="D39" s="3">
        <f t="shared" ref="C39:L39" si="12">-D55</f>
        <v>-9855</v>
      </c>
      <c r="E39" s="3">
        <f t="shared" si="12"/>
        <v>-9855</v>
      </c>
      <c r="F39" s="3">
        <f t="shared" si="12"/>
        <v>0</v>
      </c>
      <c r="G39" s="3">
        <f>-G55</f>
        <v>0</v>
      </c>
      <c r="H39" s="3">
        <f t="shared" si="12"/>
        <v>0</v>
      </c>
      <c r="I39" s="3">
        <f t="shared" si="12"/>
        <v>0</v>
      </c>
      <c r="J39" s="3">
        <f t="shared" si="12"/>
        <v>0</v>
      </c>
      <c r="K39" s="3">
        <f t="shared" si="12"/>
        <v>9855</v>
      </c>
      <c r="L39" s="3">
        <f t="shared" si="12"/>
        <v>9855</v>
      </c>
    </row>
    <row r="40" spans="1:14" x14ac:dyDescent="0.3">
      <c r="A40" s="5" t="s">
        <v>15</v>
      </c>
      <c r="B40" s="3"/>
      <c r="C40" s="3"/>
      <c r="D40" s="3"/>
      <c r="E40" s="3"/>
      <c r="F40" s="3"/>
      <c r="I40" s="3"/>
      <c r="L40" s="3">
        <f>L54</f>
        <v>39420</v>
      </c>
    </row>
    <row r="41" spans="1:14" x14ac:dyDescent="0.3">
      <c r="A41" s="5" t="s">
        <v>14</v>
      </c>
      <c r="B41" s="3">
        <f t="shared" ref="B41:L41" si="13">SUM(B37:B39)</f>
        <v>-160000</v>
      </c>
      <c r="C41" s="3">
        <f t="shared" si="13"/>
        <v>71460</v>
      </c>
      <c r="D41" s="3">
        <f t="shared" si="13"/>
        <v>154465</v>
      </c>
      <c r="E41" s="3">
        <f t="shared" si="13"/>
        <v>247905</v>
      </c>
      <c r="F41" s="3">
        <f t="shared" si="13"/>
        <v>257760</v>
      </c>
      <c r="G41" s="3">
        <f t="shared" si="13"/>
        <v>257760</v>
      </c>
      <c r="H41" s="3">
        <f t="shared" si="13"/>
        <v>257760</v>
      </c>
      <c r="I41" s="3">
        <f t="shared" si="13"/>
        <v>257760</v>
      </c>
      <c r="J41" s="3">
        <f t="shared" si="13"/>
        <v>257760</v>
      </c>
      <c r="K41" s="3">
        <f t="shared" si="13"/>
        <v>174175</v>
      </c>
      <c r="L41" s="3">
        <f t="shared" si="13"/>
        <v>293485</v>
      </c>
    </row>
    <row r="42" spans="1:14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3">
      <c r="A43" s="7" t="s">
        <v>41</v>
      </c>
      <c r="B43" s="11"/>
      <c r="C43" s="8" t="s">
        <v>42</v>
      </c>
      <c r="D43" s="8" t="s">
        <v>43</v>
      </c>
      <c r="E43" s="8" t="s">
        <v>44</v>
      </c>
      <c r="F43" s="8" t="s">
        <v>45</v>
      </c>
      <c r="G43" s="8" t="s">
        <v>46</v>
      </c>
      <c r="H43" s="8" t="s">
        <v>47</v>
      </c>
      <c r="I43" s="8" t="s">
        <v>48</v>
      </c>
      <c r="J43" s="8" t="s">
        <v>49</v>
      </c>
      <c r="K43" s="8" t="s">
        <v>50</v>
      </c>
      <c r="L43" s="8" t="s">
        <v>51</v>
      </c>
      <c r="M43" s="11"/>
      <c r="N43" s="11"/>
    </row>
    <row r="44" spans="1:14" x14ac:dyDescent="0.3">
      <c r="A44" s="7" t="s">
        <v>52</v>
      </c>
      <c r="B44" s="11"/>
      <c r="C44" s="11">
        <v>40</v>
      </c>
      <c r="D44" s="11">
        <v>50</v>
      </c>
      <c r="E44" s="11">
        <v>60</v>
      </c>
      <c r="F44" s="11">
        <v>60</v>
      </c>
      <c r="G44" s="11">
        <v>60</v>
      </c>
      <c r="H44" s="11">
        <v>60</v>
      </c>
      <c r="I44" s="11">
        <v>60</v>
      </c>
      <c r="J44" s="11">
        <v>60</v>
      </c>
      <c r="K44" s="11">
        <v>50</v>
      </c>
      <c r="L44" s="11">
        <v>40</v>
      </c>
      <c r="M44" s="11"/>
      <c r="N44" s="11"/>
    </row>
    <row r="45" spans="1:14" x14ac:dyDescent="0.3">
      <c r="A45" s="7" t="s">
        <v>32</v>
      </c>
      <c r="B45" s="11"/>
      <c r="C45" s="14">
        <f>C44*90*365</f>
        <v>1314000</v>
      </c>
      <c r="D45" s="14">
        <f>D44*90*365</f>
        <v>1642500</v>
      </c>
      <c r="E45" s="14">
        <f t="shared" ref="E45:L45" si="14">E44*90*365</f>
        <v>1971000</v>
      </c>
      <c r="F45" s="14">
        <f t="shared" si="14"/>
        <v>1971000</v>
      </c>
      <c r="G45" s="14">
        <f t="shared" si="14"/>
        <v>1971000</v>
      </c>
      <c r="H45" s="14">
        <f t="shared" si="14"/>
        <v>1971000</v>
      </c>
      <c r="I45" s="14">
        <f t="shared" si="14"/>
        <v>1971000</v>
      </c>
      <c r="J45" s="14">
        <f t="shared" si="14"/>
        <v>1971000</v>
      </c>
      <c r="K45" s="14">
        <f t="shared" si="14"/>
        <v>1642500</v>
      </c>
      <c r="L45" s="14">
        <f t="shared" si="14"/>
        <v>1314000</v>
      </c>
      <c r="M45" s="11"/>
      <c r="N45" s="11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3">
      <c r="A47" s="7" t="s">
        <v>58</v>
      </c>
      <c r="B47" s="12">
        <f>SUM(C45:L45)</f>
        <v>17739000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3">
      <c r="A48" s="7" t="s">
        <v>59</v>
      </c>
      <c r="B48" s="12">
        <f>SUM(C31:L31)</f>
        <v>-9855000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3">
      <c r="A49" s="7" t="s">
        <v>60</v>
      </c>
      <c r="B49" s="12">
        <f>SUM(C30:L30)</f>
        <v>-4800000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3">
      <c r="A50" s="7" t="s">
        <v>67</v>
      </c>
      <c r="B50" s="12">
        <f>B9+B22*12*10</f>
        <v>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3">
      <c r="A51" s="7" t="s">
        <v>61</v>
      </c>
      <c r="B51" s="12">
        <f>SUM(B47:B50)</f>
        <v>3084000</v>
      </c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3">
      <c r="A52" s="7" t="s">
        <v>62</v>
      </c>
      <c r="B52" s="12">
        <f>SUM(C32:L32)</f>
        <v>-1067040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3">
      <c r="A53" s="7" t="s">
        <v>63</v>
      </c>
      <c r="B53" s="12">
        <f>B51+B52</f>
        <v>2016960</v>
      </c>
      <c r="C53" s="1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3">
      <c r="A54" s="7" t="s">
        <v>64</v>
      </c>
      <c r="B54" s="15">
        <v>40000</v>
      </c>
      <c r="C54" s="3">
        <f>C29*3%</f>
        <v>39420</v>
      </c>
      <c r="D54" s="3">
        <f>D29*3%</f>
        <v>49275</v>
      </c>
      <c r="E54" s="3">
        <f>E29*3%</f>
        <v>59130</v>
      </c>
      <c r="F54" s="3">
        <f>F29*3%</f>
        <v>59130</v>
      </c>
      <c r="G54" s="3">
        <f>G29*3%</f>
        <v>59130</v>
      </c>
      <c r="H54" s="3">
        <f>H29*3%</f>
        <v>59130</v>
      </c>
      <c r="I54" s="3">
        <f>I29*3%</f>
        <v>59130</v>
      </c>
      <c r="J54" s="3">
        <f>J29*3%</f>
        <v>59130</v>
      </c>
      <c r="K54" s="3">
        <f>K29*3%</f>
        <v>49275</v>
      </c>
      <c r="L54" s="3">
        <f>L29*3%</f>
        <v>39420</v>
      </c>
      <c r="M54" s="11"/>
      <c r="N54" s="11"/>
    </row>
    <row r="55" spans="1:14" x14ac:dyDescent="0.3">
      <c r="A55" s="7"/>
      <c r="B55" s="15"/>
      <c r="C55" s="3">
        <f>C54-B54</f>
        <v>-580</v>
      </c>
      <c r="D55" s="3">
        <f t="shared" ref="D55:L55" si="15">D54-C54</f>
        <v>9855</v>
      </c>
      <c r="E55" s="3">
        <f t="shared" si="15"/>
        <v>9855</v>
      </c>
      <c r="F55" s="3">
        <f t="shared" si="15"/>
        <v>0</v>
      </c>
      <c r="G55" s="3">
        <f t="shared" si="15"/>
        <v>0</v>
      </c>
      <c r="H55" s="3">
        <f t="shared" si="15"/>
        <v>0</v>
      </c>
      <c r="I55" s="3">
        <f t="shared" si="15"/>
        <v>0</v>
      </c>
      <c r="J55" s="3">
        <f t="shared" si="15"/>
        <v>0</v>
      </c>
      <c r="K55" s="3">
        <f t="shared" si="15"/>
        <v>-9855</v>
      </c>
      <c r="L55" s="3">
        <f t="shared" si="15"/>
        <v>-9855</v>
      </c>
      <c r="M55" s="11"/>
      <c r="N55" s="11"/>
    </row>
    <row r="57" spans="1:14" x14ac:dyDescent="0.3">
      <c r="B57" s="3"/>
    </row>
    <row r="58" spans="1:14" x14ac:dyDescent="0.3">
      <c r="A58" s="5" t="s">
        <v>18</v>
      </c>
      <c r="B58" s="1">
        <v>0.2</v>
      </c>
    </row>
    <row r="59" spans="1:14" x14ac:dyDescent="0.3">
      <c r="A59" s="5" t="s">
        <v>3</v>
      </c>
      <c r="B59" s="2">
        <f>B41+NPV(B58, C41:L41)</f>
        <v>677536.29485640035</v>
      </c>
    </row>
    <row r="60" spans="1:14" x14ac:dyDescent="0.3">
      <c r="A60" s="5" t="s">
        <v>4</v>
      </c>
      <c r="B60" s="1">
        <f>IRR(B41:L41, 0.1)</f>
        <v>0.88983695689723508</v>
      </c>
    </row>
    <row r="61" spans="1:14" x14ac:dyDescent="0.3">
      <c r="A61" s="5" t="s">
        <v>11</v>
      </c>
      <c r="B61" s="4">
        <f>NPV($B$12, C41:L41)/-B41</f>
        <v>5.2346018428525021</v>
      </c>
    </row>
    <row r="62" spans="1:14" x14ac:dyDescent="0.3">
      <c r="A62" s="5" t="s">
        <v>17</v>
      </c>
      <c r="B62">
        <v>2.78</v>
      </c>
    </row>
    <row r="63" spans="1:14" x14ac:dyDescent="0.3">
      <c r="A63" s="5" t="s">
        <v>19</v>
      </c>
      <c r="B63">
        <v>3.73</v>
      </c>
    </row>
    <row r="66" spans="1:9" x14ac:dyDescent="0.3">
      <c r="A66" s="5" t="s">
        <v>68</v>
      </c>
      <c r="B66" s="20" t="s">
        <v>70</v>
      </c>
    </row>
    <row r="67" spans="1:9" x14ac:dyDescent="0.3">
      <c r="A67" s="20" t="s">
        <v>69</v>
      </c>
      <c r="B67" s="12">
        <f>B59</f>
        <v>677536.29485640035</v>
      </c>
      <c r="C67" s="11">
        <v>20</v>
      </c>
      <c r="D67" s="11">
        <v>30</v>
      </c>
      <c r="E67" s="11">
        <v>40</v>
      </c>
      <c r="F67" s="11">
        <v>50</v>
      </c>
      <c r="G67" s="11">
        <v>60</v>
      </c>
      <c r="H67" s="11">
        <v>70</v>
      </c>
      <c r="I67" s="11"/>
    </row>
    <row r="68" spans="1:9" x14ac:dyDescent="0.3">
      <c r="B68" s="11">
        <v>60</v>
      </c>
      <c r="C68" s="15">
        <f t="dataTable" ref="C68:H74" dt2D="1" dtr="1" r1="I27" r2="B3"/>
        <v>-894519.02569628356</v>
      </c>
      <c r="D68" s="15">
        <v>-888305.27282062615</v>
      </c>
      <c r="E68" s="15">
        <v>-882091.51994496898</v>
      </c>
      <c r="F68" s="15">
        <v>-875877.7670693117</v>
      </c>
      <c r="G68" s="15">
        <v>-869664.01419365441</v>
      </c>
      <c r="H68" s="15">
        <v>-863450.26131799712</v>
      </c>
      <c r="I68" s="11"/>
    </row>
    <row r="69" spans="1:9" x14ac:dyDescent="0.3">
      <c r="B69" s="11">
        <v>70</v>
      </c>
      <c r="C69" s="15">
        <v>-404659.24886129738</v>
      </c>
      <c r="D69" s="15">
        <v>-391977.08110688202</v>
      </c>
      <c r="E69" s="15">
        <v>-379294.91335246677</v>
      </c>
      <c r="F69" s="15">
        <v>-366612.74559805141</v>
      </c>
      <c r="G69" s="15">
        <v>-353930.57784363616</v>
      </c>
      <c r="H69" s="22">
        <v>-341248.41008922085</v>
      </c>
    </row>
    <row r="70" spans="1:9" x14ac:dyDescent="0.3">
      <c r="B70" s="11">
        <v>80</v>
      </c>
      <c r="C70" s="15">
        <v>85200.527973688993</v>
      </c>
      <c r="D70" s="15">
        <v>104351.11060686229</v>
      </c>
      <c r="E70" s="15">
        <v>123501.69324003562</v>
      </c>
      <c r="F70" s="15">
        <v>142652.27587320888</v>
      </c>
      <c r="G70" s="15">
        <v>161802.85850638221</v>
      </c>
      <c r="H70" s="22">
        <v>180953.44113955548</v>
      </c>
    </row>
    <row r="71" spans="1:9" x14ac:dyDescent="0.3">
      <c r="B71" s="11">
        <v>90</v>
      </c>
      <c r="C71" s="15">
        <v>575060.3048086752</v>
      </c>
      <c r="D71" s="15">
        <v>600679.30232060654</v>
      </c>
      <c r="E71" s="15">
        <v>626298.29983253777</v>
      </c>
      <c r="F71" s="15">
        <v>651917.297344469</v>
      </c>
      <c r="G71" s="15">
        <v>677536.29485640035</v>
      </c>
      <c r="H71" s="22">
        <v>703155.29236833157</v>
      </c>
    </row>
    <row r="72" spans="1:9" x14ac:dyDescent="0.3">
      <c r="B72" s="11">
        <v>100</v>
      </c>
      <c r="C72" s="15">
        <v>1064920.0816436617</v>
      </c>
      <c r="D72" s="15">
        <v>1097007.4940343511</v>
      </c>
      <c r="E72" s="15">
        <v>1129094.9064250402</v>
      </c>
      <c r="F72" s="15">
        <v>1161182.3188157296</v>
      </c>
      <c r="G72" s="15">
        <v>1193269.7312064187</v>
      </c>
      <c r="H72" s="22">
        <v>1225357.1435971083</v>
      </c>
    </row>
    <row r="73" spans="1:9" x14ac:dyDescent="0.3">
      <c r="B73" s="11">
        <v>110</v>
      </c>
      <c r="C73" s="15">
        <v>1554779.8584786477</v>
      </c>
      <c r="D73" s="15">
        <v>1593335.6857480952</v>
      </c>
      <c r="E73" s="15">
        <v>1631891.5130175427</v>
      </c>
      <c r="F73" s="15">
        <v>1670447.3402869899</v>
      </c>
      <c r="G73" s="15">
        <v>1709003.167556437</v>
      </c>
      <c r="H73" s="22">
        <v>1747558.9948258845</v>
      </c>
    </row>
    <row r="74" spans="1:9" x14ac:dyDescent="0.3">
      <c r="B74" s="11">
        <v>120</v>
      </c>
      <c r="C74" s="15">
        <v>2044639.6353136338</v>
      </c>
      <c r="D74" s="22">
        <v>2089663.8774618395</v>
      </c>
      <c r="E74" s="22">
        <v>2134688.1196100446</v>
      </c>
      <c r="F74" s="22">
        <v>2179712.3617582503</v>
      </c>
      <c r="G74" s="22">
        <v>2224736.6039064554</v>
      </c>
      <c r="H74" s="22">
        <v>2269760.8460546606</v>
      </c>
    </row>
    <row r="75" spans="1:9" x14ac:dyDescent="0.3">
      <c r="B75" s="11"/>
      <c r="C75" s="11"/>
    </row>
  </sheetData>
  <mergeCells count="5">
    <mergeCell ref="C35:E35"/>
    <mergeCell ref="J35:L35"/>
    <mergeCell ref="F35:I35"/>
    <mergeCell ref="A1:N1"/>
    <mergeCell ref="A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上課練習單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2018-12-19T02:16:15Z</dcterms:created>
  <dcterms:modified xsi:type="dcterms:W3CDTF">2020-12-26T22:04:51Z</dcterms:modified>
</cp:coreProperties>
</file>