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0" yWindow="0" windowWidth="15600" windowHeight="7755" tabRatio="972" firstSheet="13" activeTab="32"/>
  </bookViews>
  <sheets>
    <sheet name="1" sheetId="1" r:id="rId1"/>
    <sheet name="2" sheetId="2" r:id="rId2"/>
    <sheet name="3" sheetId="4" r:id="rId3"/>
    <sheet name="4" sheetId="5" r:id="rId4"/>
    <sheet name="5" sheetId="6" r:id="rId5"/>
    <sheet name="6" sheetId="7" r:id="rId6"/>
    <sheet name="Sheet1" sheetId="36" r:id="rId7"/>
    <sheet name="Sheet2" sheetId="37" r:id="rId8"/>
    <sheet name="7" sheetId="3" r:id="rId9"/>
    <sheet name="8" sheetId="8" r:id="rId10"/>
    <sheet name="9" sheetId="9" r:id="rId11"/>
    <sheet name="10" sheetId="10" r:id="rId12"/>
    <sheet name="11" sheetId="11" r:id="rId13"/>
    <sheet name="12" sheetId="12" r:id="rId14"/>
    <sheet name="13" sheetId="13" r:id="rId15"/>
    <sheet name="14" sheetId="14" r:id="rId16"/>
    <sheet name="15" sheetId="15" r:id="rId17"/>
    <sheet name="16" sheetId="17" r:id="rId18"/>
    <sheet name="17" sheetId="18" r:id="rId19"/>
    <sheet name="18" sheetId="24" r:id="rId20"/>
    <sheet name="19" sheetId="25" r:id="rId21"/>
    <sheet name="20" sheetId="26" r:id="rId22"/>
    <sheet name="21" sheetId="19" r:id="rId23"/>
    <sheet name="22" sheetId="20" r:id="rId24"/>
    <sheet name="23" sheetId="23" r:id="rId25"/>
    <sheet name="24" sheetId="22" r:id="rId26"/>
    <sheet name="25" sheetId="21" r:id="rId27"/>
    <sheet name="26" sheetId="28" r:id="rId28"/>
    <sheet name="27" sheetId="29" r:id="rId29"/>
    <sheet name="28" sheetId="30" r:id="rId30"/>
    <sheet name="29" sheetId="31" r:id="rId31"/>
    <sheet name="30" sheetId="32" r:id="rId32"/>
    <sheet name="Tambahan" sheetId="33" r:id="rId33"/>
    <sheet name="plus" sheetId="34" r:id="rId34"/>
    <sheet name="grafik" sheetId="35" r:id="rId35"/>
    <sheet name="Sheet3" sheetId="38" r:id="rId36"/>
  </sheets>
  <externalReferences>
    <externalReference r:id="rId37"/>
  </externalReferences>
  <definedNames>
    <definedName name="BARANG">'29'!$B$22:$D$34</definedName>
    <definedName name="Kode">'30'!$F$7:$M$9</definedName>
    <definedName name="KODE_2">'30'!$F$7:$K$9</definedName>
    <definedName name="KODE_BARANG">'30'!$A$4:$D$11</definedName>
    <definedName name="tabel1">Tambahan!$A$17:$F$20</definedName>
    <definedName name="tabel2">Tambahan!$B$22:$E$24</definedName>
  </definedNames>
  <calcPr calcId="124519"/>
  <pivotCaches>
    <pivotCache cacheId="0" r:id="rId38"/>
    <pivotCache cacheId="1" r:id="rId39"/>
  </pivotCaches>
</workbook>
</file>

<file path=xl/calcChain.xml><?xml version="1.0" encoding="utf-8"?>
<calcChain xmlns="http://schemas.openxmlformats.org/spreadsheetml/2006/main">
  <c r="B10" i="33"/>
  <c r="G6"/>
  <c r="B7"/>
  <c r="B8"/>
  <c r="B9"/>
  <c r="B12"/>
  <c r="B13"/>
  <c r="B6"/>
  <c r="J7"/>
  <c r="J8"/>
  <c r="J9"/>
  <c r="J10"/>
  <c r="J11"/>
  <c r="J12"/>
  <c r="J13"/>
  <c r="J6"/>
  <c r="C7"/>
  <c r="C8"/>
  <c r="C9"/>
  <c r="C10"/>
  <c r="C11"/>
  <c r="C12"/>
  <c r="C13"/>
  <c r="C6"/>
  <c r="D7"/>
  <c r="D8"/>
  <c r="D9"/>
  <c r="D10"/>
  <c r="D11"/>
  <c r="D12"/>
  <c r="D13"/>
  <c r="D6"/>
  <c r="E7"/>
  <c r="E8"/>
  <c r="E9"/>
  <c r="E10"/>
  <c r="E11"/>
  <c r="E12"/>
  <c r="E13"/>
  <c r="E6"/>
  <c r="M16" i="32" l="1"/>
  <c r="M17"/>
  <c r="M18"/>
  <c r="M19"/>
  <c r="M20"/>
  <c r="M21"/>
  <c r="M22"/>
  <c r="M23"/>
  <c r="M24"/>
  <c r="M25"/>
  <c r="M15"/>
  <c r="L16"/>
  <c r="L17"/>
  <c r="L18"/>
  <c r="L19"/>
  <c r="L20"/>
  <c r="L21"/>
  <c r="L22"/>
  <c r="L23"/>
  <c r="L24"/>
  <c r="L25"/>
  <c r="L15"/>
  <c r="K16"/>
  <c r="K20"/>
  <c r="K24"/>
  <c r="J17"/>
  <c r="I16"/>
  <c r="J16" s="1"/>
  <c r="I17"/>
  <c r="K17" s="1"/>
  <c r="I18"/>
  <c r="K18" s="1"/>
  <c r="I19"/>
  <c r="K19" s="1"/>
  <c r="I20"/>
  <c r="J20" s="1"/>
  <c r="I21"/>
  <c r="K21" s="1"/>
  <c r="I22"/>
  <c r="K22" s="1"/>
  <c r="I23"/>
  <c r="K23" s="1"/>
  <c r="I24"/>
  <c r="J24" s="1"/>
  <c r="I25"/>
  <c r="K25" s="1"/>
  <c r="I15"/>
  <c r="K15" s="1"/>
  <c r="H17"/>
  <c r="H19"/>
  <c r="H23"/>
  <c r="F16"/>
  <c r="H16" s="1"/>
  <c r="F17"/>
  <c r="F18"/>
  <c r="H18" s="1"/>
  <c r="F19"/>
  <c r="F20"/>
  <c r="H20" s="1"/>
  <c r="F21"/>
  <c r="H21" s="1"/>
  <c r="J21" s="1"/>
  <c r="F22"/>
  <c r="H22" s="1"/>
  <c r="F23"/>
  <c r="F24"/>
  <c r="H24" s="1"/>
  <c r="F25"/>
  <c r="H25" s="1"/>
  <c r="J25" s="1"/>
  <c r="F15"/>
  <c r="H15" s="1"/>
  <c r="C16"/>
  <c r="C17"/>
  <c r="C18"/>
  <c r="C19"/>
  <c r="C20"/>
  <c r="C21"/>
  <c r="C22"/>
  <c r="C23"/>
  <c r="C24"/>
  <c r="C25"/>
  <c r="C15"/>
  <c r="B16"/>
  <c r="B17"/>
  <c r="B18"/>
  <c r="B19"/>
  <c r="B20"/>
  <c r="B21"/>
  <c r="B22"/>
  <c r="B23"/>
  <c r="B24"/>
  <c r="B25"/>
  <c r="B15"/>
  <c r="J7" i="31"/>
  <c r="J8"/>
  <c r="J9"/>
  <c r="J10"/>
  <c r="J11"/>
  <c r="J12"/>
  <c r="J13"/>
  <c r="J14"/>
  <c r="J15"/>
  <c r="J16"/>
  <c r="J17"/>
  <c r="J18"/>
  <c r="J19"/>
  <c r="J20"/>
  <c r="J6"/>
  <c r="I7"/>
  <c r="I8"/>
  <c r="I9"/>
  <c r="I10"/>
  <c r="I11"/>
  <c r="I12"/>
  <c r="I13"/>
  <c r="I14"/>
  <c r="I15"/>
  <c r="I16"/>
  <c r="I17"/>
  <c r="I18"/>
  <c r="I19"/>
  <c r="I20"/>
  <c r="I6"/>
  <c r="H7"/>
  <c r="H8"/>
  <c r="H9"/>
  <c r="H10"/>
  <c r="H11"/>
  <c r="H12"/>
  <c r="H13"/>
  <c r="H14"/>
  <c r="H15"/>
  <c r="H16"/>
  <c r="H17"/>
  <c r="H18"/>
  <c r="H19"/>
  <c r="H20"/>
  <c r="H6"/>
  <c r="C7"/>
  <c r="C8"/>
  <c r="C9"/>
  <c r="C10"/>
  <c r="C11"/>
  <c r="C12"/>
  <c r="C13"/>
  <c r="C14"/>
  <c r="C15"/>
  <c r="C16"/>
  <c r="C17"/>
  <c r="C18"/>
  <c r="C19"/>
  <c r="C20"/>
  <c r="C6"/>
  <c r="G7"/>
  <c r="G8"/>
  <c r="G9"/>
  <c r="G10"/>
  <c r="G11"/>
  <c r="G12"/>
  <c r="G13"/>
  <c r="G14"/>
  <c r="G15"/>
  <c r="G16"/>
  <c r="G17"/>
  <c r="G18"/>
  <c r="G19"/>
  <c r="G20"/>
  <c r="G6"/>
  <c r="E7"/>
  <c r="E8"/>
  <c r="E9"/>
  <c r="E10"/>
  <c r="E11"/>
  <c r="E12"/>
  <c r="E13"/>
  <c r="E14"/>
  <c r="E15"/>
  <c r="E16"/>
  <c r="E17"/>
  <c r="E18"/>
  <c r="E19"/>
  <c r="E20"/>
  <c r="E6"/>
  <c r="J15" i="32" l="1"/>
  <c r="J22"/>
  <c r="J18"/>
  <c r="J23"/>
  <c r="J19"/>
  <c r="Q7" i="29" l="1"/>
  <c r="Q8"/>
  <c r="Q9"/>
  <c r="Q10"/>
  <c r="Q11"/>
  <c r="Q12"/>
  <c r="Q13"/>
  <c r="Q14"/>
  <c r="Q15"/>
  <c r="P7"/>
  <c r="P8"/>
  <c r="P9"/>
  <c r="P10"/>
  <c r="P11"/>
  <c r="P12"/>
  <c r="P13"/>
  <c r="P14"/>
  <c r="P15"/>
  <c r="O7"/>
  <c r="O8"/>
  <c r="O9"/>
  <c r="O10"/>
  <c r="O11"/>
  <c r="O12"/>
  <c r="O13"/>
  <c r="O14"/>
  <c r="O15"/>
  <c r="N7"/>
  <c r="N8"/>
  <c r="N9"/>
  <c r="N10"/>
  <c r="N11"/>
  <c r="N12"/>
  <c r="N13"/>
  <c r="N14"/>
  <c r="N15"/>
  <c r="M7"/>
  <c r="M8"/>
  <c r="M9"/>
  <c r="M10"/>
  <c r="M11"/>
  <c r="M12"/>
  <c r="M13"/>
  <c r="M14"/>
  <c r="M15"/>
  <c r="L7"/>
  <c r="L8"/>
  <c r="L9"/>
  <c r="L10"/>
  <c r="L11"/>
  <c r="L12"/>
  <c r="L13"/>
  <c r="L14"/>
  <c r="L15"/>
  <c r="K8"/>
  <c r="K9"/>
  <c r="K10"/>
  <c r="K11"/>
  <c r="K12"/>
  <c r="K13"/>
  <c r="K14"/>
  <c r="K15"/>
  <c r="K7"/>
  <c r="J8"/>
  <c r="J9"/>
  <c r="J10"/>
  <c r="J11"/>
  <c r="J12"/>
  <c r="J13"/>
  <c r="J14"/>
  <c r="J15"/>
  <c r="J7"/>
  <c r="I8"/>
  <c r="I9"/>
  <c r="I10"/>
  <c r="I11"/>
  <c r="I12"/>
  <c r="I13"/>
  <c r="I14"/>
  <c r="I15"/>
  <c r="I7"/>
  <c r="H7"/>
  <c r="H8"/>
  <c r="H9"/>
  <c r="H10"/>
  <c r="H11"/>
  <c r="H12"/>
  <c r="H13"/>
  <c r="H14"/>
  <c r="H15"/>
  <c r="E8"/>
  <c r="E9"/>
  <c r="E10"/>
  <c r="E11"/>
  <c r="E12"/>
  <c r="E13"/>
  <c r="E14"/>
  <c r="E15"/>
  <c r="E7"/>
  <c r="J10" i="28"/>
  <c r="J11"/>
  <c r="J12"/>
  <c r="J13"/>
  <c r="J14"/>
  <c r="J15"/>
  <c r="J16"/>
  <c r="J17"/>
  <c r="J18"/>
  <c r="J19"/>
  <c r="J20"/>
  <c r="J21"/>
  <c r="J22"/>
  <c r="J9"/>
  <c r="K8" i="22"/>
  <c r="K9"/>
  <c r="K10"/>
  <c r="K11"/>
  <c r="K12"/>
  <c r="K13"/>
  <c r="K14"/>
  <c r="K15"/>
  <c r="K16"/>
  <c r="K7"/>
  <c r="F9" i="23"/>
  <c r="E9"/>
  <c r="D9"/>
  <c r="K10" i="20"/>
  <c r="K11"/>
  <c r="K12"/>
  <c r="K13"/>
  <c r="K14"/>
  <c r="K15"/>
  <c r="K16"/>
  <c r="K17"/>
  <c r="K9"/>
  <c r="J10"/>
  <c r="J11"/>
  <c r="J12"/>
  <c r="J13"/>
  <c r="J14"/>
  <c r="J15"/>
  <c r="J16"/>
  <c r="J17"/>
  <c r="J9"/>
  <c r="F10"/>
  <c r="F9"/>
  <c r="J6" i="25"/>
  <c r="J7"/>
  <c r="J8"/>
  <c r="J9"/>
  <c r="J10"/>
  <c r="J11"/>
  <c r="J12"/>
  <c r="J13"/>
  <c r="J14"/>
  <c r="J15"/>
  <c r="J16"/>
  <c r="J17"/>
  <c r="J18"/>
  <c r="J19"/>
  <c r="J5"/>
  <c r="I8" i="24"/>
  <c r="I9"/>
  <c r="I10"/>
  <c r="I11"/>
  <c r="I12"/>
  <c r="I13"/>
  <c r="I14"/>
  <c r="I15"/>
  <c r="I7"/>
  <c r="J13" i="17"/>
  <c r="J14"/>
  <c r="J15"/>
  <c r="J16"/>
  <c r="J17"/>
  <c r="J18"/>
  <c r="J19"/>
  <c r="J20"/>
  <c r="J21"/>
  <c r="J12"/>
  <c r="I13"/>
  <c r="I14"/>
  <c r="I15"/>
  <c r="I16"/>
  <c r="I17"/>
  <c r="I18"/>
  <c r="I19"/>
  <c r="I20"/>
  <c r="I21"/>
  <c r="H13"/>
  <c r="H14"/>
  <c r="H15"/>
  <c r="H16"/>
  <c r="H17"/>
  <c r="H18"/>
  <c r="H19"/>
  <c r="H20"/>
  <c r="H21"/>
  <c r="G13"/>
  <c r="G14"/>
  <c r="G15"/>
  <c r="G16"/>
  <c r="G17"/>
  <c r="G18"/>
  <c r="G19"/>
  <c r="G20"/>
  <c r="G21"/>
  <c r="C8" i="15"/>
  <c r="C9"/>
  <c r="C10"/>
  <c r="C11"/>
  <c r="C12"/>
  <c r="C13"/>
  <c r="C14"/>
  <c r="C15"/>
  <c r="C16"/>
  <c r="C17"/>
  <c r="C7"/>
  <c r="B8"/>
  <c r="B9"/>
  <c r="B10"/>
  <c r="B11"/>
  <c r="B12"/>
  <c r="B13"/>
  <c r="B14"/>
  <c r="B15"/>
  <c r="B16"/>
  <c r="B17"/>
  <c r="B7"/>
  <c r="I25" i="13"/>
  <c r="I24"/>
  <c r="I23"/>
  <c r="I12"/>
  <c r="I13"/>
  <c r="I14"/>
  <c r="I15"/>
  <c r="I16"/>
  <c r="I17"/>
  <c r="I18"/>
  <c r="I19"/>
  <c r="I20"/>
  <c r="I21"/>
  <c r="I22"/>
  <c r="H12"/>
  <c r="H13"/>
  <c r="H14"/>
  <c r="H15"/>
  <c r="H16"/>
  <c r="H17"/>
  <c r="H18"/>
  <c r="H19"/>
  <c r="H20"/>
  <c r="H21"/>
  <c r="H22"/>
  <c r="G12"/>
  <c r="G13"/>
  <c r="G14"/>
  <c r="G15"/>
  <c r="G16"/>
  <c r="G17"/>
  <c r="G18"/>
  <c r="G19"/>
  <c r="G20"/>
  <c r="G21"/>
  <c r="G22"/>
  <c r="D12"/>
  <c r="F12" s="1"/>
  <c r="D13"/>
  <c r="F13" s="1"/>
  <c r="D14"/>
  <c r="F14" s="1"/>
  <c r="D15"/>
  <c r="E15" s="1"/>
  <c r="D16"/>
  <c r="F16" s="1"/>
  <c r="D17"/>
  <c r="F17" s="1"/>
  <c r="D18"/>
  <c r="F18" s="1"/>
  <c r="D19"/>
  <c r="E19" s="1"/>
  <c r="D20"/>
  <c r="E20" s="1"/>
  <c r="D21"/>
  <c r="F21" s="1"/>
  <c r="D22"/>
  <c r="F22" s="1"/>
  <c r="C12"/>
  <c r="C13"/>
  <c r="C14"/>
  <c r="C15"/>
  <c r="C16"/>
  <c r="C17"/>
  <c r="C18"/>
  <c r="C19"/>
  <c r="C20"/>
  <c r="C21"/>
  <c r="C22"/>
  <c r="D9" i="12"/>
  <c r="H18"/>
  <c r="H9"/>
  <c r="F18"/>
  <c r="F18" i="11"/>
  <c r="F17"/>
  <c r="F16"/>
  <c r="F15"/>
  <c r="H24" i="3"/>
  <c r="G11" i="6"/>
  <c r="G12"/>
  <c r="G13"/>
  <c r="G14"/>
  <c r="G15"/>
  <c r="G16"/>
  <c r="G17"/>
  <c r="H17" s="1"/>
  <c r="G18"/>
  <c r="G19"/>
  <c r="H15"/>
  <c r="G10"/>
  <c r="H10" s="1"/>
  <c r="D10"/>
  <c r="H11"/>
  <c r="H12"/>
  <c r="H13"/>
  <c r="H14"/>
  <c r="H16"/>
  <c r="H18"/>
  <c r="H19"/>
  <c r="F11"/>
  <c r="F12"/>
  <c r="F13"/>
  <c r="F14"/>
  <c r="F15"/>
  <c r="F16"/>
  <c r="F17"/>
  <c r="F18"/>
  <c r="F19"/>
  <c r="F10"/>
  <c r="E11"/>
  <c r="E12"/>
  <c r="E13"/>
  <c r="E14"/>
  <c r="E15"/>
  <c r="E16"/>
  <c r="E17"/>
  <c r="E18"/>
  <c r="E19"/>
  <c r="E10"/>
  <c r="D11"/>
  <c r="D12"/>
  <c r="D13"/>
  <c r="D14"/>
  <c r="D15"/>
  <c r="D16"/>
  <c r="D17"/>
  <c r="D18"/>
  <c r="D19"/>
  <c r="H21" i="5"/>
  <c r="H10"/>
  <c r="H11"/>
  <c r="H12"/>
  <c r="H13"/>
  <c r="H14"/>
  <c r="H15"/>
  <c r="H16"/>
  <c r="H17"/>
  <c r="H18"/>
  <c r="H19"/>
  <c r="H20"/>
  <c r="H9"/>
  <c r="G10"/>
  <c r="G11"/>
  <c r="G12"/>
  <c r="G13"/>
  <c r="G14"/>
  <c r="G15"/>
  <c r="G16"/>
  <c r="G17"/>
  <c r="G18"/>
  <c r="G19"/>
  <c r="G20"/>
  <c r="G9"/>
  <c r="F20"/>
  <c r="F10"/>
  <c r="F11"/>
  <c r="F12"/>
  <c r="F13"/>
  <c r="F14"/>
  <c r="F15"/>
  <c r="F16"/>
  <c r="F17"/>
  <c r="F18"/>
  <c r="F19"/>
  <c r="F9"/>
  <c r="G23" i="2"/>
  <c r="D23"/>
  <c r="E23"/>
  <c r="F23"/>
  <c r="C23"/>
  <c r="G22"/>
  <c r="D22"/>
  <c r="E22"/>
  <c r="F22"/>
  <c r="C22"/>
  <c r="G21"/>
  <c r="D21"/>
  <c r="E21"/>
  <c r="F21"/>
  <c r="C21"/>
  <c r="G9"/>
  <c r="G10"/>
  <c r="G11"/>
  <c r="G12"/>
  <c r="G13"/>
  <c r="G14"/>
  <c r="G15"/>
  <c r="G16"/>
  <c r="G17"/>
  <c r="G18"/>
  <c r="G19"/>
  <c r="G20"/>
  <c r="E20"/>
  <c r="F20"/>
  <c r="D20"/>
  <c r="C20"/>
  <c r="E12" i="13" l="1"/>
  <c r="F15"/>
  <c r="E16"/>
  <c r="F20"/>
  <c r="F19"/>
  <c r="E21"/>
  <c r="E17"/>
  <c r="E13"/>
  <c r="E22"/>
  <c r="E18"/>
  <c r="E14"/>
  <c r="G19" i="30"/>
  <c r="G20"/>
  <c r="G21"/>
  <c r="G22"/>
  <c r="G23"/>
  <c r="G24"/>
  <c r="G25"/>
  <c r="F19"/>
  <c r="F20"/>
  <c r="I20" s="1"/>
  <c r="F21"/>
  <c r="F22"/>
  <c r="I22" s="1"/>
  <c r="F23"/>
  <c r="F24"/>
  <c r="I24" s="1"/>
  <c r="F25"/>
  <c r="E19"/>
  <c r="H19" s="1"/>
  <c r="E20"/>
  <c r="H20" s="1"/>
  <c r="E21"/>
  <c r="H21" s="1"/>
  <c r="E22"/>
  <c r="H22" s="1"/>
  <c r="E23"/>
  <c r="H23" s="1"/>
  <c r="E24"/>
  <c r="H24" s="1"/>
  <c r="E25"/>
  <c r="H25" s="1"/>
  <c r="D19"/>
  <c r="D20"/>
  <c r="D21"/>
  <c r="D22"/>
  <c r="D23"/>
  <c r="D24"/>
  <c r="D25"/>
  <c r="C19"/>
  <c r="C20"/>
  <c r="C21"/>
  <c r="C22"/>
  <c r="C23"/>
  <c r="C24"/>
  <c r="C25"/>
  <c r="G18"/>
  <c r="F18"/>
  <c r="E18"/>
  <c r="H18" s="1"/>
  <c r="D18"/>
  <c r="C18"/>
  <c r="K6" i="29"/>
  <c r="J6"/>
  <c r="I6"/>
  <c r="E6"/>
  <c r="O6" s="1"/>
  <c r="F9" i="28"/>
  <c r="F10"/>
  <c r="F11"/>
  <c r="F12"/>
  <c r="F13"/>
  <c r="F14"/>
  <c r="F15"/>
  <c r="F16"/>
  <c r="F17"/>
  <c r="F18"/>
  <c r="F19"/>
  <c r="F20"/>
  <c r="F21"/>
  <c r="F22"/>
  <c r="F8"/>
  <c r="J8" s="1"/>
  <c r="G12" i="17"/>
  <c r="H12" s="1"/>
  <c r="D13"/>
  <c r="D14"/>
  <c r="D15"/>
  <c r="D16"/>
  <c r="D17"/>
  <c r="D18"/>
  <c r="D19"/>
  <c r="D20"/>
  <c r="D21"/>
  <c r="D12"/>
  <c r="I12" s="1"/>
  <c r="D11" i="13"/>
  <c r="C11"/>
  <c r="H9" i="18"/>
  <c r="I10"/>
  <c r="H11"/>
  <c r="H8"/>
  <c r="F9"/>
  <c r="I9" s="1"/>
  <c r="F10"/>
  <c r="H10" s="1"/>
  <c r="F11"/>
  <c r="I11" s="1"/>
  <c r="F12"/>
  <c r="H12" s="1"/>
  <c r="F8"/>
  <c r="I8" s="1"/>
  <c r="E9"/>
  <c r="E10"/>
  <c r="E11"/>
  <c r="E12"/>
  <c r="E8"/>
  <c r="D10"/>
  <c r="D11"/>
  <c r="D12"/>
  <c r="D9"/>
  <c r="D8"/>
  <c r="H7" i="24"/>
  <c r="H11"/>
  <c r="H15"/>
  <c r="G7"/>
  <c r="G8"/>
  <c r="G9"/>
  <c r="H9" s="1"/>
  <c r="G10"/>
  <c r="G11"/>
  <c r="G12"/>
  <c r="G13"/>
  <c r="H13" s="1"/>
  <c r="G14"/>
  <c r="G15"/>
  <c r="G6"/>
  <c r="I6" s="1"/>
  <c r="H8" i="15"/>
  <c r="I8" s="1"/>
  <c r="J8" s="1"/>
  <c r="H12"/>
  <c r="I12" s="1"/>
  <c r="J12" s="1"/>
  <c r="H16"/>
  <c r="I16" s="1"/>
  <c r="J16" s="1"/>
  <c r="G8"/>
  <c r="G9"/>
  <c r="G10"/>
  <c r="G11"/>
  <c r="G12"/>
  <c r="G13"/>
  <c r="G14"/>
  <c r="G15"/>
  <c r="G16"/>
  <c r="G17"/>
  <c r="G7"/>
  <c r="E8"/>
  <c r="E9"/>
  <c r="H9" s="1"/>
  <c r="I9" s="1"/>
  <c r="J9" s="1"/>
  <c r="E10"/>
  <c r="H10" s="1"/>
  <c r="I10" s="1"/>
  <c r="J10" s="1"/>
  <c r="E11"/>
  <c r="H11" s="1"/>
  <c r="I11" s="1"/>
  <c r="J11" s="1"/>
  <c r="E12"/>
  <c r="E13"/>
  <c r="H13" s="1"/>
  <c r="I13" s="1"/>
  <c r="J13" s="1"/>
  <c r="E14"/>
  <c r="H14" s="1"/>
  <c r="I14" s="1"/>
  <c r="J14" s="1"/>
  <c r="E15"/>
  <c r="H15" s="1"/>
  <c r="I15" s="1"/>
  <c r="J15" s="1"/>
  <c r="E16"/>
  <c r="E17"/>
  <c r="H17" s="1"/>
  <c r="I17" s="1"/>
  <c r="J17" s="1"/>
  <c r="E7"/>
  <c r="H7" s="1"/>
  <c r="I7" s="1"/>
  <c r="J7" s="1"/>
  <c r="I10" i="14"/>
  <c r="I11"/>
  <c r="I12"/>
  <c r="I17"/>
  <c r="I19"/>
  <c r="I20"/>
  <c r="I8"/>
  <c r="D10"/>
  <c r="F10" s="1"/>
  <c r="D11"/>
  <c r="F11" s="1"/>
  <c r="D12"/>
  <c r="F12" s="1"/>
  <c r="D13"/>
  <c r="F13" s="1"/>
  <c r="I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9"/>
  <c r="F9" s="1"/>
  <c r="D8"/>
  <c r="F8" s="1"/>
  <c r="D7"/>
  <c r="F7" s="1"/>
  <c r="C10"/>
  <c r="C11"/>
  <c r="C12"/>
  <c r="C13"/>
  <c r="C14"/>
  <c r="C15"/>
  <c r="C16"/>
  <c r="C17"/>
  <c r="C18"/>
  <c r="C19"/>
  <c r="C20"/>
  <c r="C21"/>
  <c r="C9"/>
  <c r="C8"/>
  <c r="C7"/>
  <c r="F12" i="12"/>
  <c r="H12" s="1"/>
  <c r="F14"/>
  <c r="H14" s="1"/>
  <c r="F16"/>
  <c r="H16" s="1"/>
  <c r="E12"/>
  <c r="E13"/>
  <c r="F13" s="1"/>
  <c r="H13" s="1"/>
  <c r="E14"/>
  <c r="E15"/>
  <c r="F15" s="1"/>
  <c r="H15" s="1"/>
  <c r="E16"/>
  <c r="E17"/>
  <c r="F17" s="1"/>
  <c r="H17" s="1"/>
  <c r="E11"/>
  <c r="F11" s="1"/>
  <c r="H11" s="1"/>
  <c r="E10"/>
  <c r="F10" s="1"/>
  <c r="H10" s="1"/>
  <c r="D12"/>
  <c r="D13"/>
  <c r="D14"/>
  <c r="D15"/>
  <c r="D16"/>
  <c r="D17"/>
  <c r="D11"/>
  <c r="D10"/>
  <c r="G10"/>
  <c r="G11"/>
  <c r="G12"/>
  <c r="G13"/>
  <c r="G14"/>
  <c r="G15"/>
  <c r="G16"/>
  <c r="G17"/>
  <c r="G9"/>
  <c r="E9"/>
  <c r="F9" s="1"/>
  <c r="H12" i="8"/>
  <c r="G12"/>
  <c r="G11"/>
  <c r="H11" s="1"/>
  <c r="G13"/>
  <c r="H13" s="1"/>
  <c r="G14"/>
  <c r="H14" s="1"/>
  <c r="G15"/>
  <c r="H15" s="1"/>
  <c r="G16"/>
  <c r="H16" s="1"/>
  <c r="G17"/>
  <c r="H17" s="1"/>
  <c r="G18"/>
  <c r="H18" s="1"/>
  <c r="G19"/>
  <c r="H19" s="1"/>
  <c r="G10"/>
  <c r="H10" s="1"/>
  <c r="H9" i="20"/>
  <c r="H10"/>
  <c r="H11"/>
  <c r="H12"/>
  <c r="H13"/>
  <c r="H14"/>
  <c r="H15"/>
  <c r="H16"/>
  <c r="H17"/>
  <c r="H8"/>
  <c r="G9"/>
  <c r="G10"/>
  <c r="G11"/>
  <c r="G12"/>
  <c r="G13"/>
  <c r="G14"/>
  <c r="G15"/>
  <c r="G16"/>
  <c r="G17"/>
  <c r="G8"/>
  <c r="E9"/>
  <c r="I9" s="1"/>
  <c r="E10"/>
  <c r="I10" s="1"/>
  <c r="E11"/>
  <c r="F11" s="1"/>
  <c r="I11" s="1"/>
  <c r="E12"/>
  <c r="F12" s="1"/>
  <c r="I12" s="1"/>
  <c r="E13"/>
  <c r="F13" s="1"/>
  <c r="I13" s="1"/>
  <c r="E14"/>
  <c r="F14" s="1"/>
  <c r="I14" s="1"/>
  <c r="E15"/>
  <c r="F15" s="1"/>
  <c r="I15" s="1"/>
  <c r="E16"/>
  <c r="F16" s="1"/>
  <c r="I16" s="1"/>
  <c r="E17"/>
  <c r="F17" s="1"/>
  <c r="I17" s="1"/>
  <c r="E8"/>
  <c r="F8" s="1"/>
  <c r="I8" s="1"/>
  <c r="G9" i="23"/>
  <c r="G11"/>
  <c r="G13"/>
  <c r="G15"/>
  <c r="E10"/>
  <c r="E11"/>
  <c r="E12"/>
  <c r="E13"/>
  <c r="E14"/>
  <c r="E15"/>
  <c r="E16"/>
  <c r="E8"/>
  <c r="G8" s="1"/>
  <c r="H8" i="21"/>
  <c r="H9"/>
  <c r="H10"/>
  <c r="H11"/>
  <c r="H12"/>
  <c r="H13"/>
  <c r="H14"/>
  <c r="H15"/>
  <c r="H7"/>
  <c r="H6"/>
  <c r="G10"/>
  <c r="G11"/>
  <c r="J11" s="1"/>
  <c r="G12"/>
  <c r="G13"/>
  <c r="J13" s="1"/>
  <c r="G14"/>
  <c r="G15"/>
  <c r="J15" s="1"/>
  <c r="G9"/>
  <c r="G8"/>
  <c r="G7"/>
  <c r="G6"/>
  <c r="D9"/>
  <c r="I9" s="1"/>
  <c r="D10"/>
  <c r="I10" s="1"/>
  <c r="J10" s="1"/>
  <c r="D11"/>
  <c r="I11" s="1"/>
  <c r="D12"/>
  <c r="I12" s="1"/>
  <c r="J12" s="1"/>
  <c r="D13"/>
  <c r="I13" s="1"/>
  <c r="D14"/>
  <c r="I14" s="1"/>
  <c r="J14" s="1"/>
  <c r="D15"/>
  <c r="I15" s="1"/>
  <c r="D8"/>
  <c r="I8" s="1"/>
  <c r="D7"/>
  <c r="I7" s="1"/>
  <c r="D6"/>
  <c r="I6" s="1"/>
  <c r="C9"/>
  <c r="C10"/>
  <c r="C11"/>
  <c r="C12"/>
  <c r="C13"/>
  <c r="C14"/>
  <c r="C15"/>
  <c r="C8"/>
  <c r="C7"/>
  <c r="C6"/>
  <c r="D10" i="23"/>
  <c r="D11"/>
  <c r="D12"/>
  <c r="D13"/>
  <c r="D14"/>
  <c r="D15"/>
  <c r="D16"/>
  <c r="D8"/>
  <c r="E9" i="22"/>
  <c r="H9" s="1"/>
  <c r="E10"/>
  <c r="H10" s="1"/>
  <c r="E11"/>
  <c r="H11" s="1"/>
  <c r="E12"/>
  <c r="H12" s="1"/>
  <c r="E13"/>
  <c r="H13" s="1"/>
  <c r="E14"/>
  <c r="H14" s="1"/>
  <c r="E15"/>
  <c r="H15" s="1"/>
  <c r="E16"/>
  <c r="H16" s="1"/>
  <c r="F10"/>
  <c r="F11"/>
  <c r="F12"/>
  <c r="F13"/>
  <c r="F14"/>
  <c r="F15"/>
  <c r="F16"/>
  <c r="F9"/>
  <c r="F8"/>
  <c r="F7"/>
  <c r="N16" i="19"/>
  <c r="N10"/>
  <c r="N12"/>
  <c r="N14"/>
  <c r="N8"/>
  <c r="L9"/>
  <c r="L10"/>
  <c r="L11"/>
  <c r="L12"/>
  <c r="L13"/>
  <c r="L14"/>
  <c r="L15"/>
  <c r="L16"/>
  <c r="K9"/>
  <c r="K10"/>
  <c r="K11"/>
  <c r="K12"/>
  <c r="K13"/>
  <c r="K14"/>
  <c r="K15"/>
  <c r="K16"/>
  <c r="L8"/>
  <c r="L7"/>
  <c r="K8"/>
  <c r="M8" s="1"/>
  <c r="O8" s="1"/>
  <c r="J16"/>
  <c r="M16" s="1"/>
  <c r="O16" s="1"/>
  <c r="J9"/>
  <c r="N9" s="1"/>
  <c r="J10"/>
  <c r="M10" s="1"/>
  <c r="O10" s="1"/>
  <c r="J11"/>
  <c r="N11" s="1"/>
  <c r="J12"/>
  <c r="M12" s="1"/>
  <c r="O12" s="1"/>
  <c r="J13"/>
  <c r="N13" s="1"/>
  <c r="J14"/>
  <c r="M14" s="1"/>
  <c r="O14" s="1"/>
  <c r="J15"/>
  <c r="N15" s="1"/>
  <c r="J8"/>
  <c r="J7"/>
  <c r="N7" s="1"/>
  <c r="K7"/>
  <c r="C4"/>
  <c r="I12" s="1"/>
  <c r="H10"/>
  <c r="H11"/>
  <c r="H12"/>
  <c r="H13"/>
  <c r="H14"/>
  <c r="H15"/>
  <c r="H16"/>
  <c r="H9"/>
  <c r="H8"/>
  <c r="H7"/>
  <c r="G9" i="26"/>
  <c r="G10"/>
  <c r="G11"/>
  <c r="G12"/>
  <c r="G13"/>
  <c r="G14"/>
  <c r="G15"/>
  <c r="G16"/>
  <c r="G8"/>
  <c r="G7"/>
  <c r="F9"/>
  <c r="F10"/>
  <c r="F11"/>
  <c r="F12"/>
  <c r="F13"/>
  <c r="F14"/>
  <c r="F15"/>
  <c r="F16"/>
  <c r="F8"/>
  <c r="F7"/>
  <c r="H7" i="25"/>
  <c r="H8"/>
  <c r="H9"/>
  <c r="H10"/>
  <c r="H11"/>
  <c r="H12"/>
  <c r="H13"/>
  <c r="H14"/>
  <c r="H15"/>
  <c r="H16"/>
  <c r="H17"/>
  <c r="H18"/>
  <c r="H19"/>
  <c r="H6"/>
  <c r="H5"/>
  <c r="F6"/>
  <c r="F7"/>
  <c r="F8"/>
  <c r="F9"/>
  <c r="F10"/>
  <c r="F11"/>
  <c r="F12"/>
  <c r="F13"/>
  <c r="F14"/>
  <c r="F15"/>
  <c r="F16"/>
  <c r="F17"/>
  <c r="F18"/>
  <c r="F19"/>
  <c r="F5"/>
  <c r="F7" i="11"/>
  <c r="G7" s="1"/>
  <c r="H7" s="1"/>
  <c r="F14"/>
  <c r="G14" s="1"/>
  <c r="H14" s="1"/>
  <c r="F13"/>
  <c r="G13" s="1"/>
  <c r="H13" s="1"/>
  <c r="F12"/>
  <c r="G12" s="1"/>
  <c r="H12" s="1"/>
  <c r="F11"/>
  <c r="G11" s="1"/>
  <c r="H11" s="1"/>
  <c r="F10"/>
  <c r="G10" s="1"/>
  <c r="H10" s="1"/>
  <c r="F9"/>
  <c r="G9" s="1"/>
  <c r="H9" s="1"/>
  <c r="F8"/>
  <c r="G8" s="1"/>
  <c r="H8" s="1"/>
  <c r="E8" i="22"/>
  <c r="H8" s="1"/>
  <c r="E7"/>
  <c r="H7" s="1"/>
  <c r="D16"/>
  <c r="I16" s="1"/>
  <c r="D11"/>
  <c r="D12"/>
  <c r="D13"/>
  <c r="D14"/>
  <c r="D15"/>
  <c r="D10"/>
  <c r="I10" s="1"/>
  <c r="D9"/>
  <c r="D8"/>
  <c r="I8" s="1"/>
  <c r="D7"/>
  <c r="I7" s="1"/>
  <c r="D15" i="4"/>
  <c r="D14"/>
  <c r="D13"/>
  <c r="D12"/>
  <c r="D11"/>
  <c r="D10"/>
  <c r="D9"/>
  <c r="D8"/>
  <c r="D19" s="1"/>
  <c r="G8" i="2"/>
  <c r="F8" i="1"/>
  <c r="F9"/>
  <c r="F10"/>
  <c r="F11"/>
  <c r="F12"/>
  <c r="F13"/>
  <c r="F14"/>
  <c r="F7"/>
  <c r="F16" s="1"/>
  <c r="F10" i="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9"/>
  <c r="G9" s="1"/>
  <c r="F8"/>
  <c r="G8" s="1"/>
  <c r="F7"/>
  <c r="G7" s="1"/>
  <c r="F6"/>
  <c r="G6" s="1"/>
  <c r="F18" i="9"/>
  <c r="F17"/>
  <c r="F16"/>
  <c r="F14"/>
  <c r="F11"/>
  <c r="F10"/>
  <c r="F15"/>
  <c r="F13"/>
  <c r="F12"/>
  <c r="F9"/>
  <c r="D14"/>
  <c r="D15"/>
  <c r="D16"/>
  <c r="D17"/>
  <c r="D18"/>
  <c r="D13"/>
  <c r="D12"/>
  <c r="D11"/>
  <c r="D10"/>
  <c r="D9"/>
  <c r="G27" i="3"/>
  <c r="G28"/>
  <c r="G26"/>
  <c r="G25"/>
  <c r="G24"/>
  <c r="G15"/>
  <c r="G14"/>
  <c r="G13"/>
  <c r="G12"/>
  <c r="G11"/>
  <c r="G10"/>
  <c r="G9"/>
  <c r="G8"/>
  <c r="F15"/>
  <c r="F14"/>
  <c r="F10"/>
  <c r="F11"/>
  <c r="F13"/>
  <c r="F12"/>
  <c r="F9"/>
  <c r="F8"/>
  <c r="E13"/>
  <c r="E14"/>
  <c r="E15"/>
  <c r="E12"/>
  <c r="E11"/>
  <c r="E9"/>
  <c r="E10"/>
  <c r="E8"/>
  <c r="D15"/>
  <c r="H15" s="1"/>
  <c r="D14"/>
  <c r="H14" s="1"/>
  <c r="H28" s="1"/>
  <c r="D13"/>
  <c r="H13" s="1"/>
  <c r="D12"/>
  <c r="H12" s="1"/>
  <c r="H27" s="1"/>
  <c r="D11"/>
  <c r="H11" s="1"/>
  <c r="D10"/>
  <c r="H10" s="1"/>
  <c r="H26" s="1"/>
  <c r="D9"/>
  <c r="H9" s="1"/>
  <c r="H25" s="1"/>
  <c r="D8"/>
  <c r="H8" s="1"/>
  <c r="G13" i="7"/>
  <c r="G12"/>
  <c r="G10"/>
  <c r="F10"/>
  <c r="H10" s="1"/>
  <c r="F12"/>
  <c r="H12" s="1"/>
  <c r="F9"/>
  <c r="G9" s="1"/>
  <c r="D12"/>
  <c r="D13"/>
  <c r="F13" s="1"/>
  <c r="H13" s="1"/>
  <c r="D10"/>
  <c r="D11"/>
  <c r="F11" s="1"/>
  <c r="D9"/>
  <c r="D18" i="24"/>
  <c r="E18"/>
  <c r="F18"/>
  <c r="D19"/>
  <c r="E19"/>
  <c r="F19"/>
  <c r="D17"/>
  <c r="E17"/>
  <c r="F17"/>
  <c r="C19"/>
  <c r="C18"/>
  <c r="C17"/>
  <c r="F29" i="34"/>
  <c r="F28"/>
  <c r="F27"/>
  <c r="F26"/>
  <c r="F25"/>
  <c r="F24"/>
  <c r="F23"/>
  <c r="F22"/>
  <c r="F21"/>
  <c r="F20"/>
  <c r="F19"/>
  <c r="F18"/>
  <c r="G17"/>
  <c r="F17"/>
  <c r="C15"/>
  <c r="J5" i="33"/>
  <c r="E22"/>
  <c r="D22"/>
  <c r="C22"/>
  <c r="J18"/>
  <c r="C4" i="28"/>
  <c r="C9" i="18"/>
  <c r="C10"/>
  <c r="C11"/>
  <c r="C12"/>
  <c r="C8"/>
  <c r="I12" i="10"/>
  <c r="K12" s="1"/>
  <c r="I11"/>
  <c r="K11" s="1"/>
  <c r="I10"/>
  <c r="J10" s="1"/>
  <c r="I9"/>
  <c r="K9" s="1"/>
  <c r="I8"/>
  <c r="K8" s="1"/>
  <c r="I7"/>
  <c r="J7" s="1"/>
  <c r="I6"/>
  <c r="K6" s="1"/>
  <c r="I16" i="33"/>
  <c r="J16"/>
  <c r="I17"/>
  <c r="J17"/>
  <c r="I18"/>
  <c r="I9" i="28" l="1"/>
  <c r="I13"/>
  <c r="I17"/>
  <c r="I21"/>
  <c r="I12"/>
  <c r="I20"/>
  <c r="I16"/>
  <c r="I11"/>
  <c r="I15"/>
  <c r="I19"/>
  <c r="I10"/>
  <c r="I14"/>
  <c r="I18"/>
  <c r="I22"/>
  <c r="H9"/>
  <c r="H13"/>
  <c r="H17"/>
  <c r="H21"/>
  <c r="H19"/>
  <c r="H22"/>
  <c r="H12"/>
  <c r="H16"/>
  <c r="H20"/>
  <c r="H15"/>
  <c r="H11"/>
  <c r="H10"/>
  <c r="H14"/>
  <c r="H18"/>
  <c r="G13"/>
  <c r="G17"/>
  <c r="G21"/>
  <c r="G16"/>
  <c r="G11"/>
  <c r="G10"/>
  <c r="G22"/>
  <c r="G12"/>
  <c r="G20"/>
  <c r="G15"/>
  <c r="G19"/>
  <c r="G14"/>
  <c r="G18"/>
  <c r="G8"/>
  <c r="G9"/>
  <c r="I11" i="19"/>
  <c r="I8"/>
  <c r="I15"/>
  <c r="I16"/>
  <c r="I7"/>
  <c r="I10"/>
  <c r="I9"/>
  <c r="I8" i="28"/>
  <c r="I13" i="19"/>
  <c r="I14"/>
  <c r="G22" i="10"/>
  <c r="G20"/>
  <c r="G21"/>
  <c r="G11" i="7"/>
  <c r="H11"/>
  <c r="H18" i="3"/>
  <c r="H16"/>
  <c r="H19"/>
  <c r="H17"/>
  <c r="I9" i="22"/>
  <c r="I15"/>
  <c r="I13"/>
  <c r="I11"/>
  <c r="H9" i="7"/>
  <c r="F15" i="1"/>
  <c r="F17"/>
  <c r="D16" i="4"/>
  <c r="D18"/>
  <c r="J6" i="10"/>
  <c r="J8"/>
  <c r="J11"/>
  <c r="J9"/>
  <c r="K7"/>
  <c r="K10"/>
  <c r="H7" i="26"/>
  <c r="I7" s="1"/>
  <c r="H16"/>
  <c r="I16" s="1"/>
  <c r="H14"/>
  <c r="I14" s="1"/>
  <c r="H12"/>
  <c r="I12" s="1"/>
  <c r="H10"/>
  <c r="I10" s="1"/>
  <c r="M15" i="19"/>
  <c r="O15" s="1"/>
  <c r="M13"/>
  <c r="O13" s="1"/>
  <c r="M11"/>
  <c r="O11" s="1"/>
  <c r="M9"/>
  <c r="O9" s="1"/>
  <c r="J6" i="21"/>
  <c r="J8"/>
  <c r="K8" s="1"/>
  <c r="K6"/>
  <c r="K15"/>
  <c r="K13"/>
  <c r="K11"/>
  <c r="K7" i="14"/>
  <c r="I7"/>
  <c r="L7"/>
  <c r="J7"/>
  <c r="K9"/>
  <c r="J9"/>
  <c r="L9" s="1"/>
  <c r="I9"/>
  <c r="J20"/>
  <c r="K20"/>
  <c r="L20" s="1"/>
  <c r="I18"/>
  <c r="K18"/>
  <c r="J18"/>
  <c r="L18" s="1"/>
  <c r="I16"/>
  <c r="J16"/>
  <c r="K16"/>
  <c r="L16" s="1"/>
  <c r="I14"/>
  <c r="K14"/>
  <c r="J14"/>
  <c r="L14" s="1"/>
  <c r="J12"/>
  <c r="L12"/>
  <c r="K12"/>
  <c r="K10"/>
  <c r="J10"/>
  <c r="L10" s="1"/>
  <c r="H8" i="28"/>
  <c r="D17" i="4"/>
  <c r="J12" i="10"/>
  <c r="I14" i="22"/>
  <c r="I12"/>
  <c r="H8" i="26"/>
  <c r="I8" s="1"/>
  <c r="H15"/>
  <c r="I15" s="1"/>
  <c r="H13"/>
  <c r="I13" s="1"/>
  <c r="H11"/>
  <c r="I11" s="1"/>
  <c r="H9"/>
  <c r="I9" s="1"/>
  <c r="M7" i="19"/>
  <c r="O7" s="1"/>
  <c r="J7" i="21"/>
  <c r="K7" s="1"/>
  <c r="J9"/>
  <c r="K9" s="1"/>
  <c r="K14"/>
  <c r="K12"/>
  <c r="K10"/>
  <c r="J8" i="20"/>
  <c r="K8" s="1"/>
  <c r="J8" i="14"/>
  <c r="K8"/>
  <c r="L8" s="1"/>
  <c r="K21"/>
  <c r="L21" s="1"/>
  <c r="J21"/>
  <c r="I21"/>
  <c r="K19"/>
  <c r="L19" s="1"/>
  <c r="J19"/>
  <c r="F8" i="23"/>
  <c r="H8" s="1"/>
  <c r="F15"/>
  <c r="H15" s="1"/>
  <c r="F13"/>
  <c r="H13" s="1"/>
  <c r="F11"/>
  <c r="H11" s="1"/>
  <c r="H9"/>
  <c r="G16"/>
  <c r="G14"/>
  <c r="G12"/>
  <c r="G10"/>
  <c r="E11" i="13"/>
  <c r="F11"/>
  <c r="G11" s="1"/>
  <c r="F16" i="23"/>
  <c r="H16" s="1"/>
  <c r="F14"/>
  <c r="H14" s="1"/>
  <c r="F12"/>
  <c r="H12" s="1"/>
  <c r="F10"/>
  <c r="H10" s="1"/>
  <c r="K17" i="14"/>
  <c r="J17"/>
  <c r="L17" s="1"/>
  <c r="K15"/>
  <c r="L15" s="1"/>
  <c r="J15"/>
  <c r="K13"/>
  <c r="J13"/>
  <c r="L13" s="1"/>
  <c r="K11"/>
  <c r="L11" s="1"/>
  <c r="J11"/>
  <c r="I15"/>
  <c r="I12" i="18"/>
  <c r="H6" i="29"/>
  <c r="L6"/>
  <c r="N6"/>
  <c r="I18" i="30"/>
  <c r="J18" s="1"/>
  <c r="I25"/>
  <c r="J25" s="1"/>
  <c r="I23"/>
  <c r="J23" s="1"/>
  <c r="I21"/>
  <c r="J21" s="1"/>
  <c r="I19"/>
  <c r="J19" s="1"/>
  <c r="J24"/>
  <c r="J22"/>
  <c r="J20"/>
  <c r="H6" i="24"/>
  <c r="H14"/>
  <c r="H12"/>
  <c r="H10"/>
  <c r="H8"/>
  <c r="M6" i="29"/>
  <c r="P6" s="1"/>
  <c r="H19" i="23" l="1"/>
  <c r="H17"/>
  <c r="H20"/>
  <c r="H18"/>
  <c r="J11" i="26"/>
  <c r="K11" s="1"/>
  <c r="J15"/>
  <c r="K15" s="1"/>
  <c r="J10"/>
  <c r="K10" s="1"/>
  <c r="J14"/>
  <c r="K14" s="1"/>
  <c r="J7"/>
  <c r="K7"/>
  <c r="J9"/>
  <c r="K9" s="1"/>
  <c r="J13"/>
  <c r="K13" s="1"/>
  <c r="J8"/>
  <c r="K8"/>
  <c r="J12"/>
  <c r="K12" s="1"/>
  <c r="J16"/>
  <c r="K16" s="1"/>
  <c r="L22" i="14"/>
  <c r="Q6" i="29"/>
  <c r="H11" i="13"/>
  <c r="I11" s="1"/>
  <c r="O17" i="19"/>
  <c r="H15" i="7"/>
  <c r="H14"/>
</calcChain>
</file>

<file path=xl/sharedStrings.xml><?xml version="1.0" encoding="utf-8"?>
<sst xmlns="http://schemas.openxmlformats.org/spreadsheetml/2006/main" count="1773" uniqueCount="1295">
  <si>
    <t>DAFTAR BELANJA NYONYA MELLY</t>
  </si>
  <si>
    <t>Bulan Desember 2002</t>
  </si>
  <si>
    <t>No</t>
  </si>
  <si>
    <t>Susu bayi</t>
  </si>
  <si>
    <t>Belanja Terbesar</t>
  </si>
  <si>
    <t>Belanja Terendah</t>
  </si>
  <si>
    <t>Total Belanja</t>
  </si>
  <si>
    <t>Sabun cuci</t>
  </si>
  <si>
    <t>Sabun mandi</t>
  </si>
  <si>
    <t>Pasta gigi</t>
  </si>
  <si>
    <t>Sirup jeruk</t>
  </si>
  <si>
    <t>Teh celup</t>
  </si>
  <si>
    <t>Telur ayam</t>
  </si>
  <si>
    <t>Minyak kelapa</t>
  </si>
  <si>
    <t>LATIHAN - 1</t>
  </si>
  <si>
    <t>A</t>
  </si>
  <si>
    <t>B</t>
  </si>
  <si>
    <t>C</t>
  </si>
  <si>
    <t>D</t>
  </si>
  <si>
    <t>E</t>
  </si>
  <si>
    <t>Jumlah Belanja</t>
  </si>
  <si>
    <t>Jumlah Barang</t>
  </si>
  <si>
    <t>Harga Barang</t>
  </si>
  <si>
    <t>Nama Barang</t>
  </si>
  <si>
    <t>Data yang dicari :</t>
  </si>
  <si>
    <t xml:space="preserve">DAFTAR HASIL PENJUALAN PT. BINTANG PRATAMA </t>
  </si>
  <si>
    <t>jln . Ranggagading No . 01 Bogor</t>
  </si>
  <si>
    <t>Tahun 1998/1999</t>
  </si>
  <si>
    <t>Bulan</t>
  </si>
  <si>
    <t>CABANG</t>
  </si>
  <si>
    <t>TOTAL</t>
  </si>
  <si>
    <t>BANDUNG</t>
  </si>
  <si>
    <t>BOGOR</t>
  </si>
  <si>
    <t>JAKARTA</t>
  </si>
  <si>
    <t>SUKABUMI</t>
  </si>
  <si>
    <t>JAN</t>
  </si>
  <si>
    <t>JAGUNG</t>
  </si>
  <si>
    <t>FEB</t>
  </si>
  <si>
    <t>KOPI</t>
  </si>
  <si>
    <t>MAR</t>
  </si>
  <si>
    <t>PADI</t>
  </si>
  <si>
    <t>APR</t>
  </si>
  <si>
    <t>KENTANG</t>
  </si>
  <si>
    <t>MAY</t>
  </si>
  <si>
    <t>WORTEL</t>
  </si>
  <si>
    <t>JUN</t>
  </si>
  <si>
    <t>CABE</t>
  </si>
  <si>
    <t>JUL</t>
  </si>
  <si>
    <t>KEMIRI</t>
  </si>
  <si>
    <t>AUG</t>
  </si>
  <si>
    <t>LADA</t>
  </si>
  <si>
    <t>SEP</t>
  </si>
  <si>
    <t>CENGKEH</t>
  </si>
  <si>
    <t>OCT</t>
  </si>
  <si>
    <t>GANDUM</t>
  </si>
  <si>
    <t>NOV</t>
  </si>
  <si>
    <t>SAGU</t>
  </si>
  <si>
    <t>DEC</t>
  </si>
  <si>
    <t>KETUMBAR</t>
  </si>
  <si>
    <t>TOTAL PERKOTA</t>
  </si>
  <si>
    <t>NILAI TERTINGGI</t>
  </si>
  <si>
    <t>NILAI TERENDAH</t>
  </si>
  <si>
    <t>NILAI RATA-RATA</t>
  </si>
  <si>
    <t>LATIHAN - 2</t>
  </si>
  <si>
    <t>LATIHAN - 3</t>
  </si>
  <si>
    <t>DAFTAR NAMA KARYAWAN</t>
  </si>
  <si>
    <t>PT. ASUMSI UNTUNG</t>
  </si>
  <si>
    <t>JL. Untung Selalu No. 11</t>
  </si>
  <si>
    <t>Nama Pegawai</t>
  </si>
  <si>
    <t>Jabatan</t>
  </si>
  <si>
    <t>Gaji Pokok</t>
  </si>
  <si>
    <t>Tunj. Anak</t>
  </si>
  <si>
    <t>Tunj. Istri</t>
  </si>
  <si>
    <t>Tunj. Kes</t>
  </si>
  <si>
    <t>Pajak</t>
  </si>
  <si>
    <t>Total Gaji</t>
  </si>
  <si>
    <t>Moch Ali</t>
  </si>
  <si>
    <t>Georgr Parman</t>
  </si>
  <si>
    <t>Ken Narton</t>
  </si>
  <si>
    <t>Joe Frizor</t>
  </si>
  <si>
    <t>Roki Markino</t>
  </si>
  <si>
    <t>Roy Leonard</t>
  </si>
  <si>
    <t>Tomas Herin</t>
  </si>
  <si>
    <t>Mak Ticon</t>
  </si>
  <si>
    <t>Total seluruh</t>
  </si>
  <si>
    <t>Total Gaji Terbesar</t>
  </si>
  <si>
    <t>Total Gaji Terkecil</t>
  </si>
  <si>
    <t>Total Gaji Rata-rata</t>
  </si>
  <si>
    <t>Jumlah Data</t>
  </si>
  <si>
    <t>Ass. Manager</t>
  </si>
  <si>
    <t>Manager</t>
  </si>
  <si>
    <t>Kabag</t>
  </si>
  <si>
    <t>Staff</t>
  </si>
  <si>
    <t>Sekretaris</t>
  </si>
  <si>
    <r>
      <t xml:space="preserve">* </t>
    </r>
    <r>
      <rPr>
        <b/>
        <sz val="11"/>
        <rFont val="Arial"/>
        <family val="2"/>
      </rPr>
      <t>Tunjangan Anak</t>
    </r>
    <r>
      <rPr>
        <sz val="11"/>
        <rFont val="Arial"/>
        <family val="2"/>
      </rPr>
      <t xml:space="preserve"> = 3% dari Gaji Pokok</t>
    </r>
  </si>
  <si>
    <r>
      <t xml:space="preserve">* </t>
    </r>
    <r>
      <rPr>
        <b/>
        <sz val="11"/>
        <rFont val="Arial"/>
        <family val="2"/>
      </rPr>
      <t>Tunjangan Istri</t>
    </r>
    <r>
      <rPr>
        <sz val="11"/>
        <rFont val="Arial"/>
        <family val="2"/>
      </rPr>
      <t xml:space="preserve"> = 2% dari Gaji Pokok</t>
    </r>
  </si>
  <si>
    <r>
      <t xml:space="preserve">* </t>
    </r>
    <r>
      <rPr>
        <b/>
        <sz val="11"/>
        <rFont val="Arial"/>
        <family val="2"/>
      </rPr>
      <t>Tunjangan Kes</t>
    </r>
    <r>
      <rPr>
        <sz val="11"/>
        <rFont val="Arial"/>
        <family val="2"/>
      </rPr>
      <t xml:space="preserve"> = 7,5% dari Gaji Pokok</t>
    </r>
  </si>
  <si>
    <r>
      <t xml:space="preserve">*  </t>
    </r>
    <r>
      <rPr>
        <b/>
        <sz val="11"/>
        <rFont val="Arial"/>
        <family val="2"/>
      </rPr>
      <t>Pajak</t>
    </r>
    <r>
      <rPr>
        <sz val="11"/>
        <rFont val="Arial"/>
        <family val="2"/>
      </rPr>
      <t xml:space="preserve"> = 2,5% dari Gaji Pokok</t>
    </r>
  </si>
  <si>
    <r>
      <t xml:space="preserve">* </t>
    </r>
    <r>
      <rPr>
        <b/>
        <sz val="11"/>
        <rFont val="Arial"/>
        <family val="2"/>
      </rPr>
      <t>Total Gaji</t>
    </r>
    <r>
      <rPr>
        <sz val="11"/>
        <rFont val="Arial"/>
        <family val="2"/>
      </rPr>
      <t xml:space="preserve"> = Gaji Pokok + Tunjangan anak + Tunjangan Kes - Pajak</t>
    </r>
  </si>
  <si>
    <t>LATIHAN - 4</t>
  </si>
  <si>
    <t>Daftar Honor Pengajar Part Time</t>
  </si>
  <si>
    <t>LPK WIDYAMANDIRI</t>
  </si>
  <si>
    <t>Honor mengajar / jam :</t>
  </si>
  <si>
    <t>Nama</t>
  </si>
  <si>
    <t>Rafik</t>
  </si>
  <si>
    <t>Rani</t>
  </si>
  <si>
    <t>Lina</t>
  </si>
  <si>
    <t>Sofia</t>
  </si>
  <si>
    <t>Rezki</t>
  </si>
  <si>
    <t>Laras</t>
  </si>
  <si>
    <t>Sati</t>
  </si>
  <si>
    <t>Irawati</t>
  </si>
  <si>
    <t xml:space="preserve">Total </t>
  </si>
  <si>
    <t>Tertinggi</t>
  </si>
  <si>
    <t>Terendah</t>
  </si>
  <si>
    <t xml:space="preserve">Rata-rata </t>
  </si>
  <si>
    <t>Jml Jam</t>
  </si>
  <si>
    <t>Upah</t>
  </si>
  <si>
    <t>,,,</t>
  </si>
  <si>
    <t>Data yang dicari</t>
  </si>
  <si>
    <t xml:space="preserve"> Gunakan rumus absolut untuk mengunci alamat honor mengajar/jam {F4}</t>
  </si>
  <si>
    <t xml:space="preserve">LATIHAN - 5 </t>
  </si>
  <si>
    <t>Daftar Pengeluaran Uang Mingguan</t>
  </si>
  <si>
    <t>PT. SUMBER MAKMUR</t>
  </si>
  <si>
    <t>Dedi Mulyadi</t>
  </si>
  <si>
    <t>Dedi Muntadi</t>
  </si>
  <si>
    <t>Harjono</t>
  </si>
  <si>
    <t>Hartono</t>
  </si>
  <si>
    <t>Indarto</t>
  </si>
  <si>
    <t>Indarti</t>
  </si>
  <si>
    <t>Aditiawati</t>
  </si>
  <si>
    <t>Aditiawanto</t>
  </si>
  <si>
    <t>Dewi luwi</t>
  </si>
  <si>
    <t>Dewi lawi</t>
  </si>
  <si>
    <t>Entin Sopiah</t>
  </si>
  <si>
    <t>Ending</t>
  </si>
  <si>
    <t>Jml Hari Kerja</t>
  </si>
  <si>
    <t>Uang Makan</t>
  </si>
  <si>
    <t>Uang Lembur</t>
  </si>
  <si>
    <t>Total Uang Mingguan</t>
  </si>
  <si>
    <t>Jml Jam Lembur</t>
  </si>
  <si>
    <t>T O T A L</t>
  </si>
  <si>
    <t>Upah Lembur/Jam</t>
  </si>
  <si>
    <t>Uang Makan/Jam</t>
  </si>
  <si>
    <t>LATIHAN - 6</t>
  </si>
  <si>
    <t>TABEL HARGA BARANG ELEKTRONIK</t>
  </si>
  <si>
    <t>TOKO "DIJAMIN MURAH"</t>
  </si>
  <si>
    <t>Jl. Mangga Tiga No. 1, Jakarta Pusat</t>
  </si>
  <si>
    <t>Harga 1 US $</t>
  </si>
  <si>
    <t>Jenis Barang</t>
  </si>
  <si>
    <t>Harga Awal</t>
  </si>
  <si>
    <t>US $</t>
  </si>
  <si>
    <t>Rupiah</t>
  </si>
  <si>
    <t>Harga Awal + Laba 20 %</t>
  </si>
  <si>
    <t>Biaya Operasional</t>
  </si>
  <si>
    <t>Pajak 10 %</t>
  </si>
  <si>
    <t>Harga Jual</t>
  </si>
  <si>
    <t>Komputer</t>
  </si>
  <si>
    <t>Ponsel</t>
  </si>
  <si>
    <t>Televisi</t>
  </si>
  <si>
    <t>Radio Tape</t>
  </si>
  <si>
    <t>VCD</t>
  </si>
  <si>
    <t>Mesin Cuci</t>
  </si>
  <si>
    <t>Kulkas</t>
  </si>
  <si>
    <t>AC</t>
  </si>
  <si>
    <t>Setrika</t>
  </si>
  <si>
    <t>Kipas Angin</t>
  </si>
  <si>
    <t>* Harga Awal dalam  rupiah : Harga awal 1 US $ * Harga awal barang dalam US $</t>
  </si>
  <si>
    <t>* Harga + Laba 20 % : Harga awal (rupiah) + 20% dari harga awal (rupiah)</t>
  </si>
  <si>
    <t>* Biaya Operasional : 5 % x Harga setelah laba 20 %</t>
  </si>
  <si>
    <t>* Pajak 10 % : 10% x (harga setelah laba 20 % + Biaya Operasional)</t>
  </si>
  <si>
    <t>* Harga Jual : Harga setelah laba + Biaya operasional + Pajak 10 %</t>
  </si>
  <si>
    <r>
      <t xml:space="preserve">* </t>
    </r>
    <r>
      <rPr>
        <b/>
        <sz val="12"/>
        <rFont val="Arial"/>
        <family val="2"/>
      </rPr>
      <t>Total Belanja</t>
    </r>
    <r>
      <rPr>
        <sz val="12"/>
        <rFont val="Arial"/>
        <family val="2"/>
      </rPr>
      <t xml:space="preserve"> : Penjumlahan dari seluruh Jumlah Belanja. Gunakan fungsi SUM()</t>
    </r>
  </si>
  <si>
    <r>
      <t xml:space="preserve">* </t>
    </r>
    <r>
      <rPr>
        <b/>
        <sz val="12"/>
        <rFont val="Arial"/>
        <family val="2"/>
      </rPr>
      <t>Belanja Terbesar</t>
    </r>
    <r>
      <rPr>
        <sz val="12"/>
        <rFont val="Arial"/>
        <family val="2"/>
      </rPr>
      <t xml:space="preserve"> : Nilai terkecil dari Jumlah Belanja. Gunakan fungsi MAX()</t>
    </r>
  </si>
  <si>
    <r>
      <t xml:space="preserve">* </t>
    </r>
    <r>
      <rPr>
        <b/>
        <sz val="12"/>
        <rFont val="Arial"/>
        <family val="2"/>
      </rPr>
      <t>Belanja Terendah</t>
    </r>
    <r>
      <rPr>
        <sz val="12"/>
        <rFont val="Arial"/>
        <family val="2"/>
      </rPr>
      <t xml:space="preserve"> : Nilai terkecil dari Jumlah Belanja. Gunakan fungsi MIN()</t>
    </r>
  </si>
  <si>
    <r>
      <t xml:space="preserve">* TOTAL : </t>
    </r>
    <r>
      <rPr>
        <sz val="10"/>
        <rFont val="Arial"/>
        <family val="2"/>
      </rPr>
      <t>Jumlah seluruh cabang berdasarkan Nama Barang</t>
    </r>
  </si>
  <si>
    <r>
      <t xml:space="preserve">* TOTAL Per KOTA : </t>
    </r>
    <r>
      <rPr>
        <sz val="10"/>
        <rFont val="Arial"/>
        <family val="2"/>
      </rPr>
      <t>Jumlah Nama Barang setiap kotanya. Gunakan fungsi SUM()</t>
    </r>
  </si>
  <si>
    <r>
      <t xml:space="preserve">* NILAI TERTINGGI : </t>
    </r>
    <r>
      <rPr>
        <sz val="10"/>
        <rFont val="Arial"/>
        <family val="2"/>
      </rPr>
      <t>Nilai tertinggi tiap kota. Gunakan Fungsi MAX()</t>
    </r>
  </si>
  <si>
    <r>
      <t xml:space="preserve">* Nilai TERENDAH : </t>
    </r>
    <r>
      <rPr>
        <sz val="10"/>
        <rFont val="Arial"/>
        <family val="2"/>
      </rPr>
      <t>Nilai terkecil tiap kotanya. Gunakan fungsi MIN()</t>
    </r>
  </si>
  <si>
    <r>
      <t xml:space="preserve">* NILAI RATA-RATA : </t>
    </r>
    <r>
      <rPr>
        <sz val="10"/>
        <rFont val="Arial"/>
        <family val="2"/>
      </rPr>
      <t>Nilai rata-rata tiap kotanya. Gunakan fungsi AVERAGE()</t>
    </r>
  </si>
  <si>
    <r>
      <t xml:space="preserve">* </t>
    </r>
    <r>
      <rPr>
        <b/>
        <sz val="11"/>
        <rFont val="Arial"/>
        <family val="2"/>
      </rPr>
      <t>Total Seluruh</t>
    </r>
    <r>
      <rPr>
        <sz val="11"/>
        <rFont val="Arial"/>
        <family val="2"/>
      </rPr>
      <t xml:space="preserve"> = Penjumlahan semua Total Gaji {fungsi SUM()}</t>
    </r>
  </si>
  <si>
    <r>
      <t xml:space="preserve">* </t>
    </r>
    <r>
      <rPr>
        <b/>
        <sz val="11"/>
        <rFont val="Arial"/>
        <family val="2"/>
      </rPr>
      <t>Total Gaji Terbesar</t>
    </r>
    <r>
      <rPr>
        <sz val="11"/>
        <rFont val="Arial"/>
        <family val="2"/>
      </rPr>
      <t xml:space="preserve"> {fungsi MAX()}</t>
    </r>
  </si>
  <si>
    <r>
      <t xml:space="preserve">* </t>
    </r>
    <r>
      <rPr>
        <b/>
        <sz val="11"/>
        <rFont val="Arial"/>
        <family val="2"/>
      </rPr>
      <t xml:space="preserve">Total Gaji Terkecil </t>
    </r>
    <r>
      <rPr>
        <sz val="11"/>
        <rFont val="Arial"/>
        <family val="2"/>
      </rPr>
      <t>{fungsi MIN()}</t>
    </r>
  </si>
  <si>
    <r>
      <t xml:space="preserve">* </t>
    </r>
    <r>
      <rPr>
        <b/>
        <sz val="11"/>
        <rFont val="Arial"/>
        <family val="2"/>
      </rPr>
      <t>Total Gaji Rata-rata</t>
    </r>
    <r>
      <rPr>
        <sz val="11"/>
        <rFont val="Arial"/>
        <family val="2"/>
      </rPr>
      <t xml:space="preserve"> {fungsi AVERAGE()}</t>
    </r>
  </si>
  <si>
    <r>
      <t xml:space="preserve">* </t>
    </r>
    <r>
      <rPr>
        <b/>
        <sz val="11"/>
        <rFont val="Arial"/>
        <family val="2"/>
      </rPr>
      <t>Jumlah Data</t>
    </r>
    <r>
      <rPr>
        <sz val="11"/>
        <rFont val="Arial"/>
        <family val="2"/>
      </rPr>
      <t xml:space="preserve"> {fungsi COUNT()}</t>
    </r>
  </si>
  <si>
    <r>
      <t xml:space="preserve">* </t>
    </r>
    <r>
      <rPr>
        <b/>
        <sz val="12"/>
        <rFont val="Arial"/>
        <family val="2"/>
      </rPr>
      <t>Honor</t>
    </r>
    <r>
      <rPr>
        <sz val="12"/>
        <rFont val="Arial"/>
        <family val="2"/>
      </rPr>
      <t xml:space="preserve"> = Jml Jam x honor mengajar/jam. </t>
    </r>
  </si>
  <si>
    <r>
      <t xml:space="preserve">* </t>
    </r>
    <r>
      <rPr>
        <b/>
        <sz val="12"/>
        <rFont val="Arial"/>
        <family val="2"/>
      </rPr>
      <t>Total</t>
    </r>
    <r>
      <rPr>
        <sz val="12"/>
        <rFont val="Arial"/>
        <family val="2"/>
      </rPr>
      <t xml:space="preserve"> = penjumlahan semua honor. {fungsi SUM()}</t>
    </r>
  </si>
  <si>
    <r>
      <t xml:space="preserve">* </t>
    </r>
    <r>
      <rPr>
        <b/>
        <sz val="12"/>
        <rFont val="Arial"/>
        <family val="2"/>
      </rPr>
      <t xml:space="preserve">Tertinggi </t>
    </r>
    <r>
      <rPr>
        <sz val="12"/>
        <rFont val="Arial"/>
        <family val="2"/>
      </rPr>
      <t>= Nilai tertinggi semua honor. {fungsi MAX()}</t>
    </r>
  </si>
  <si>
    <r>
      <t xml:space="preserve">* </t>
    </r>
    <r>
      <rPr>
        <b/>
        <sz val="12"/>
        <rFont val="Arial"/>
        <family val="2"/>
      </rPr>
      <t>Terendah</t>
    </r>
    <r>
      <rPr>
        <sz val="12"/>
        <rFont val="Arial"/>
        <family val="2"/>
      </rPr>
      <t xml:space="preserve"> = Nilai terendah dari semua honor. {fungsi MIN()}</t>
    </r>
  </si>
  <si>
    <r>
      <t xml:space="preserve">* </t>
    </r>
    <r>
      <rPr>
        <b/>
        <sz val="12"/>
        <rFont val="Arial"/>
        <family val="2"/>
      </rPr>
      <t>Rata-rata</t>
    </r>
    <r>
      <rPr>
        <sz val="12"/>
        <rFont val="Arial"/>
        <family val="2"/>
      </rPr>
      <t xml:space="preserve"> = Rata-rata dari semua honor. {fungsi AVERAGE()}</t>
    </r>
  </si>
  <si>
    <r>
      <t xml:space="preserve">* </t>
    </r>
    <r>
      <rPr>
        <b/>
        <sz val="10"/>
        <rFont val="Arial"/>
        <family val="2"/>
      </rPr>
      <t>Uang Makan</t>
    </r>
    <r>
      <rPr>
        <sz val="10"/>
        <rFont val="Arial"/>
        <charset val="1"/>
      </rPr>
      <t xml:space="preserve"> = Jml Hari Kerja x Uang makan/hari</t>
    </r>
  </si>
  <si>
    <r>
      <t xml:space="preserve">* </t>
    </r>
    <r>
      <rPr>
        <b/>
        <sz val="10"/>
        <rFont val="Arial"/>
        <family val="2"/>
      </rPr>
      <t>Uang Lembur</t>
    </r>
    <r>
      <rPr>
        <sz val="10"/>
        <rFont val="Arial"/>
        <charset val="1"/>
      </rPr>
      <t xml:space="preserve"> = Jml Jam Lembur x Upah Lembur/Jam</t>
    </r>
  </si>
  <si>
    <r>
      <t xml:space="preserve">* </t>
    </r>
    <r>
      <rPr>
        <b/>
        <sz val="10"/>
        <rFont val="Arial"/>
        <family val="2"/>
      </rPr>
      <t>Total Uang Mingguan</t>
    </r>
    <r>
      <rPr>
        <sz val="10"/>
        <rFont val="Arial"/>
        <charset val="1"/>
      </rPr>
      <t xml:space="preserve"> = Uang Makan + Uang Lembur</t>
    </r>
  </si>
  <si>
    <t>LATIHAN - 7</t>
  </si>
  <si>
    <t>Daftar Gaji Karyawan</t>
  </si>
  <si>
    <t>Bulan Maret 2004</t>
  </si>
  <si>
    <t>Kode</t>
  </si>
  <si>
    <t>Masuk</t>
  </si>
  <si>
    <t>Gaji</t>
  </si>
  <si>
    <t>Pegawai</t>
  </si>
  <si>
    <t>Kerja</t>
  </si>
  <si>
    <t>Pokok</t>
  </si>
  <si>
    <t>Bonus</t>
  </si>
  <si>
    <t>Bersih</t>
  </si>
  <si>
    <t>Subulana</t>
  </si>
  <si>
    <t>Aldi Said</t>
  </si>
  <si>
    <t>KH</t>
  </si>
  <si>
    <t>Rojali</t>
  </si>
  <si>
    <t>KT</t>
  </si>
  <si>
    <t>Kustianti</t>
  </si>
  <si>
    <t>Ananda</t>
  </si>
  <si>
    <t>Jumlah</t>
  </si>
  <si>
    <t>Rata-rata</t>
  </si>
  <si>
    <t>PT. Nusantara Jaya</t>
  </si>
  <si>
    <t xml:space="preserve">       Jika Kode pegawai ="KH", maka Jabatan Karyawan Harian</t>
  </si>
  <si>
    <t xml:space="preserve">            Bila Jabatan = "Karyawan Harian", maka Gaji pokok 200000</t>
  </si>
  <si>
    <t xml:space="preserve">      Bila masuk kerja kurang dari 25 tidak mendapat bonus</t>
  </si>
  <si>
    <r>
      <t xml:space="preserve">Data yang dicari </t>
    </r>
    <r>
      <rPr>
        <sz val="11"/>
        <rFont val="Arial"/>
        <family val="2"/>
      </rPr>
      <t>:</t>
    </r>
  </si>
  <si>
    <r>
      <t>*</t>
    </r>
    <r>
      <rPr>
        <b/>
        <sz val="11"/>
        <rFont val="Arial"/>
        <family val="2"/>
      </rPr>
      <t xml:space="preserve"> Jabatan</t>
    </r>
    <r>
      <rPr>
        <sz val="11"/>
        <rFont val="Arial"/>
        <family val="2"/>
      </rPr>
      <t xml:space="preserve"> : Jika Kode pegawai = "KT", maka Jabatan Karyawan Tetap</t>
    </r>
  </si>
  <si>
    <r>
      <t xml:space="preserve">* </t>
    </r>
    <r>
      <rPr>
        <b/>
        <sz val="11"/>
        <rFont val="Arial"/>
        <family val="2"/>
      </rPr>
      <t>Gaji Pokok</t>
    </r>
    <r>
      <rPr>
        <sz val="11"/>
        <rFont val="Arial"/>
        <family val="2"/>
      </rPr>
      <t xml:space="preserve"> : Bila Jabatan = "kayawan Tetap", maka Gaji pokok 300000</t>
    </r>
  </si>
  <si>
    <r>
      <t xml:space="preserve">* </t>
    </r>
    <r>
      <rPr>
        <b/>
        <sz val="11"/>
        <rFont val="Arial"/>
        <family val="2"/>
      </rPr>
      <t>Gaji Bersih</t>
    </r>
    <r>
      <rPr>
        <sz val="11"/>
        <rFont val="Arial"/>
        <family val="2"/>
      </rPr>
      <t xml:space="preserve"> : Gaji pokok ditambah Bonus</t>
    </r>
  </si>
  <si>
    <r>
      <t xml:space="preserve">* Kolom </t>
    </r>
    <r>
      <rPr>
        <b/>
        <sz val="11"/>
        <rFont val="Arial"/>
        <family val="2"/>
      </rPr>
      <t>Jumlah</t>
    </r>
    <r>
      <rPr>
        <sz val="11"/>
        <rFont val="Arial"/>
        <family val="2"/>
      </rPr>
      <t xml:space="preserve"> dan </t>
    </r>
    <r>
      <rPr>
        <b/>
        <sz val="11"/>
        <rFont val="Arial"/>
        <family val="2"/>
      </rPr>
      <t>Rata-rata</t>
    </r>
    <r>
      <rPr>
        <sz val="11"/>
        <rFont val="Arial"/>
        <family val="2"/>
      </rPr>
      <t xml:space="preserve"> gunakan fungsi yang sesuai</t>
    </r>
  </si>
  <si>
    <r>
      <t xml:space="preserve">* </t>
    </r>
    <r>
      <rPr>
        <b/>
        <sz val="11"/>
        <rFont val="Arial"/>
        <family val="2"/>
      </rPr>
      <t>Bonus</t>
    </r>
    <r>
      <rPr>
        <sz val="11"/>
        <rFont val="Arial"/>
        <family val="2"/>
      </rPr>
      <t xml:space="preserve"> :  Bila masuk kerja lebih besar / sama dengan 25 dapat bonus 15 % dari gaji pokok</t>
    </r>
  </si>
  <si>
    <t>Daftar Nilai Komputer</t>
  </si>
  <si>
    <t>SMK PGRI 1 CIBINONG</t>
  </si>
  <si>
    <t>Tahun Pelajaran 2000/2001</t>
  </si>
  <si>
    <t>Nama Siswa</t>
  </si>
  <si>
    <t>Windows</t>
  </si>
  <si>
    <t>Keterangan</t>
  </si>
  <si>
    <t>Nilai</t>
  </si>
  <si>
    <t>Arman</t>
  </si>
  <si>
    <t>Cahyati</t>
  </si>
  <si>
    <t>Durahman</t>
  </si>
  <si>
    <t>Ernawati</t>
  </si>
  <si>
    <t>Pardilah</t>
  </si>
  <si>
    <t>Gunardi</t>
  </si>
  <si>
    <t>Haerunisa</t>
  </si>
  <si>
    <t>Ine Setiawati</t>
  </si>
  <si>
    <t>Jalaludin</t>
  </si>
  <si>
    <t>LATIHAN - 8</t>
  </si>
  <si>
    <t>Ms. Word</t>
  </si>
  <si>
    <t>Ms. Excel</t>
  </si>
  <si>
    <t>Budiarti</t>
  </si>
  <si>
    <t>Jika Rata-rata nilai kurang dari 6 maka keterangan diisi TIDAK LULUS</t>
  </si>
  <si>
    <r>
      <t xml:space="preserve">* </t>
    </r>
    <r>
      <rPr>
        <b/>
        <sz val="12"/>
        <rFont val="Arial"/>
        <family val="2"/>
      </rPr>
      <t>Rata-rata Nilai</t>
    </r>
    <r>
      <rPr>
        <sz val="12"/>
        <rFont val="Arial"/>
        <family val="2"/>
      </rPr>
      <t xml:space="preserve"> dengan fungsi AVERAGE</t>
    </r>
  </si>
  <si>
    <r>
      <t xml:space="preserve">* </t>
    </r>
    <r>
      <rPr>
        <b/>
        <sz val="12"/>
        <rFont val="Arial"/>
        <family val="2"/>
      </rPr>
      <t xml:space="preserve">Keterangan </t>
    </r>
    <r>
      <rPr>
        <sz val="12"/>
        <rFont val="Arial"/>
        <family val="2"/>
      </rPr>
      <t>: Jika Rata-rata nilai lebih besar / sama dengan 6 maka keterangan LULUS</t>
    </r>
  </si>
  <si>
    <t>LATIHAN - 9</t>
  </si>
  <si>
    <t>Laporan Harian Penjualan Kertas</t>
  </si>
  <si>
    <t>Toko Buku " SERBA LENGKAP"</t>
  </si>
  <si>
    <t>1-OCT-02</t>
  </si>
  <si>
    <t>Kalkir</t>
  </si>
  <si>
    <t>HVS</t>
  </si>
  <si>
    <t>Kode Kertas</t>
  </si>
  <si>
    <t>Jenis Kertas</t>
  </si>
  <si>
    <t>Jumlah Lembar</t>
  </si>
  <si>
    <t>Bayar</t>
  </si>
  <si>
    <t>K</t>
  </si>
  <si>
    <t>H</t>
  </si>
  <si>
    <r>
      <t xml:space="preserve">* </t>
    </r>
    <r>
      <rPr>
        <b/>
        <sz val="12"/>
        <rFont val="Arial"/>
        <family val="2"/>
      </rPr>
      <t>Jenis Kertas</t>
    </r>
    <r>
      <rPr>
        <sz val="12"/>
        <rFont val="Arial"/>
        <family val="2"/>
      </rPr>
      <t xml:space="preserve"> : Jika Kode kertas = "K", maka Jenis kertas = Kalkir</t>
    </r>
  </si>
  <si>
    <r>
      <t xml:space="preserve">* </t>
    </r>
    <r>
      <rPr>
        <b/>
        <sz val="12"/>
        <rFont val="Arial"/>
        <family val="2"/>
      </rPr>
      <t>Bayar</t>
    </r>
    <r>
      <rPr>
        <sz val="12"/>
        <rFont val="Arial"/>
        <family val="2"/>
      </rPr>
      <t xml:space="preserve"> = Harga kertas per lembar * Jumlah Barang</t>
    </r>
  </si>
  <si>
    <t xml:space="preserve"> Jika Kode kertas = "H", maka Jenis kertas = HVS</t>
  </si>
  <si>
    <t xml:space="preserve">   Gunakan rumus ABSOLUT untuk mengunci alamat harga kertas per lembar</t>
  </si>
  <si>
    <t>LATIHAN - 10</t>
  </si>
  <si>
    <t>Data Pinjaman Buku Pustaka</t>
  </si>
  <si>
    <t>Nomor Pustaka</t>
  </si>
  <si>
    <t>Jenis Buku</t>
  </si>
  <si>
    <t>Tanggal Pinjam</t>
  </si>
  <si>
    <t>Jumlah Buku</t>
  </si>
  <si>
    <t>Tarif Pustaka</t>
  </si>
  <si>
    <t>Total Bayar</t>
  </si>
  <si>
    <t>F.Rulliana</t>
  </si>
  <si>
    <t>Fiksi Ilmiah</t>
  </si>
  <si>
    <t>Juansyah</t>
  </si>
  <si>
    <t>Analisis</t>
  </si>
  <si>
    <t>Indriawan</t>
  </si>
  <si>
    <t>Kamus</t>
  </si>
  <si>
    <t>Agustini</t>
  </si>
  <si>
    <t>Widiyanti</t>
  </si>
  <si>
    <t>Cerita</t>
  </si>
  <si>
    <t>Temasmi</t>
  </si>
  <si>
    <t>Religi</t>
  </si>
  <si>
    <t>Kristi Octora</t>
  </si>
  <si>
    <t>Teknik</t>
  </si>
  <si>
    <t>Irfan Suripto</t>
  </si>
  <si>
    <t>D. Budiarti</t>
  </si>
  <si>
    <t>Rachman</t>
  </si>
  <si>
    <t>Prihatni</t>
  </si>
  <si>
    <t>Kuntarini</t>
  </si>
  <si>
    <t>Eli Puspita</t>
  </si>
  <si>
    <t>2-aug-02</t>
  </si>
  <si>
    <t>Tri Kadarsih</t>
  </si>
  <si>
    <t>4-aug-02</t>
  </si>
  <si>
    <t>Jumlah Seluruh</t>
  </si>
  <si>
    <t>Maksimum</t>
  </si>
  <si>
    <t>Ensiklopedi</t>
  </si>
  <si>
    <t>* Tarif Pustaka :</t>
  </si>
  <si>
    <t>Jika Jenis buku = "Kamus", Tarif sewa buku perhari sebesar = 1750</t>
  </si>
  <si>
    <t>Jika Jenis buku = "Teknik", Tarif sewa buku perhari sebesar = 2250</t>
  </si>
  <si>
    <t>Jika Jenis buku = "Analisis", Tarif sewa buku perhari sebesar = 3250</t>
  </si>
  <si>
    <t>Selain Jenis buku tersebut, tarif sewa buku perhari sebesar = 1500</t>
  </si>
  <si>
    <t>* Total Bayar : Tarif sewa buku * Jumlah buku</t>
  </si>
  <si>
    <t>LATIHAN - 11</t>
  </si>
  <si>
    <t>Nim</t>
  </si>
  <si>
    <t>Window</t>
  </si>
  <si>
    <t>Nilai Huruf</t>
  </si>
  <si>
    <t>Jumlah Siswa</t>
  </si>
  <si>
    <t>Nilai rata-rata Tinggi</t>
  </si>
  <si>
    <t>Nilai rata-rata terendah</t>
  </si>
  <si>
    <t>Dani Sunday</t>
  </si>
  <si>
    <t>Deni Sudeny</t>
  </si>
  <si>
    <t>Doni Sudony</t>
  </si>
  <si>
    <t>Dini Mardini</t>
  </si>
  <si>
    <t>Dina Mardina</t>
  </si>
  <si>
    <t>Dino Aldino</t>
  </si>
  <si>
    <t>Dani Danya</t>
  </si>
  <si>
    <t>Dono Kardono</t>
  </si>
  <si>
    <t>Periode Agustus 2002</t>
  </si>
  <si>
    <t>Rata semua siswa</t>
  </si>
  <si>
    <t>Hasil Ujian Komputer "LPK AMAT CANGGIH"</t>
  </si>
  <si>
    <t>* Rata-rata : nilai rata-rata dari Ms Windows, Ms. Word, Ms. Excel {fungsi AVERAGE()}</t>
  </si>
  <si>
    <t>* Nilai Huruf :</t>
  </si>
  <si>
    <t>Jika Nilai rata-rata &lt; 60 maka nilai Huruf = E</t>
  </si>
  <si>
    <t>Jika Nilai rata-rata &lt; 85 maka nilai Huruf = C</t>
  </si>
  <si>
    <t>Jika Nilai rata-rata &lt; 74 maka nilai Huruf = D</t>
  </si>
  <si>
    <t>Jika Nilai rata-rata &lt; 96 maka nilai Huruf = B</t>
  </si>
  <si>
    <t>Jika Nilai rata-rata &gt;= 90 maka nilai Huruf = A</t>
  </si>
  <si>
    <t>* Keterangan :</t>
  </si>
  <si>
    <t>Bila nilai huruf = A, maka Keterangan = Istimewa</t>
  </si>
  <si>
    <t>Bila nilai huruf = B, maka Keterangan = Baik</t>
  </si>
  <si>
    <t>Bila nilai huruf = C, maka Keterangan = Cukup Baik</t>
  </si>
  <si>
    <t>Bila nilai huruf = D, maka Keterangan = Kurang Baik</t>
  </si>
  <si>
    <t>Bila nilai huruf = E, maka Keterangan = Gagal</t>
  </si>
  <si>
    <t>* Jumlah Siswa : Jumlah siswa yang ada, {fungsi COUNT()}</t>
  </si>
  <si>
    <t>* Nilai rata semua siswa : rata2 dr nilai rata2 semua siswa {AVERAGE()}</t>
  </si>
  <si>
    <t>* Nilai Rata-rata Tertinggi :{MAX()}</t>
  </si>
  <si>
    <t>* Nilai Rata-rata Terendah :{MIN()}</t>
  </si>
  <si>
    <t>LATIHAN - 12</t>
  </si>
  <si>
    <t>Jl.Ir.H. Juanda No. 89 Bandung</t>
  </si>
  <si>
    <t>KODE</t>
  </si>
  <si>
    <t>JUMLAH</t>
  </si>
  <si>
    <t>NAMA</t>
  </si>
  <si>
    <t>HARGA</t>
  </si>
  <si>
    <t>NILAI</t>
  </si>
  <si>
    <t>TANGGAL</t>
  </si>
  <si>
    <t>BARANG</t>
  </si>
  <si>
    <t>UNIT</t>
  </si>
  <si>
    <t>SATUAN</t>
  </si>
  <si>
    <t>DISKON</t>
  </si>
  <si>
    <t>BERSIH</t>
  </si>
  <si>
    <t>P103</t>
  </si>
  <si>
    <t>P104</t>
  </si>
  <si>
    <t>P105</t>
  </si>
  <si>
    <t>P101</t>
  </si>
  <si>
    <t>P102</t>
  </si>
  <si>
    <t>TABEL KODE BARANG</t>
  </si>
  <si>
    <t xml:space="preserve">HARGA </t>
  </si>
  <si>
    <t>MOTOROLA</t>
  </si>
  <si>
    <t>NEC</t>
  </si>
  <si>
    <t>NOKIA</t>
  </si>
  <si>
    <t>ERICSON</t>
  </si>
  <si>
    <t>PHILIPS</t>
  </si>
  <si>
    <t>12-May-00</t>
  </si>
  <si>
    <t>17-May-00</t>
  </si>
  <si>
    <t>22-May-00</t>
  </si>
  <si>
    <t>25-May-00</t>
  </si>
  <si>
    <t>Daftar Penjualan Hand Phone</t>
  </si>
  <si>
    <t>PT. Harapan Jaya</t>
  </si>
  <si>
    <t>* Nama barang dan Harga Satuan ditentukan berdasarkan Kode Barang pada Tabel Kode Barang yang ada</t>
  </si>
  <si>
    <t>* Harga Total = Jumlah Unit * Harga Satuan</t>
  </si>
  <si>
    <t>* Diskon diperoleh dari Prosentase Diskon yang ada pd Tabel Kode Barang dikalikan dengan Harga Total</t>
  </si>
  <si>
    <t>* Nilai Bersih = Harga Total - Diskon</t>
  </si>
  <si>
    <t xml:space="preserve">JUMLAH </t>
  </si>
  <si>
    <t>LATIHAN - 13</t>
  </si>
  <si>
    <t>Tabel 1</t>
  </si>
  <si>
    <t>No Bagian</t>
  </si>
  <si>
    <t>Departmen Bagian</t>
  </si>
  <si>
    <t>Pokok Pendapatan</t>
  </si>
  <si>
    <t>A2</t>
  </si>
  <si>
    <t>Operasional</t>
  </si>
  <si>
    <t>B3</t>
  </si>
  <si>
    <t>Personalia</t>
  </si>
  <si>
    <t>C4</t>
  </si>
  <si>
    <t>Equipment</t>
  </si>
  <si>
    <t>RINCIAN PEMBERIAN BONUS TAHUNAN</t>
  </si>
  <si>
    <t>D5</t>
  </si>
  <si>
    <t>Markting</t>
  </si>
  <si>
    <t>Nrp</t>
  </si>
  <si>
    <t>Nama Pekerja</t>
  </si>
  <si>
    <t>No. Gol</t>
  </si>
  <si>
    <t>Department Bagian</t>
  </si>
  <si>
    <t>PPh</t>
  </si>
  <si>
    <t>Total Pendapatan</t>
  </si>
  <si>
    <t>B304</t>
  </si>
  <si>
    <t>Tjandra Abijasa</t>
  </si>
  <si>
    <t>C403</t>
  </si>
  <si>
    <t>Budi Brasali</t>
  </si>
  <si>
    <t>D504</t>
  </si>
  <si>
    <t>Benjamin Surjadjaja</t>
  </si>
  <si>
    <t>A201</t>
  </si>
  <si>
    <t>Surjanto Sosrodjojo</t>
  </si>
  <si>
    <t>Thomas M Gani</t>
  </si>
  <si>
    <t>Ismail Sofyan</t>
  </si>
  <si>
    <t>B302</t>
  </si>
  <si>
    <t>Umar Hartainata</t>
  </si>
  <si>
    <t>Utomo Sosodirdjo</t>
  </si>
  <si>
    <t>Santoso Sutantyo</t>
  </si>
  <si>
    <t>Setijono Sjuandi</t>
  </si>
  <si>
    <t>Eka Tjandra Negara</t>
  </si>
  <si>
    <t>Adam Kurniawan</t>
  </si>
  <si>
    <t>Nilai Rata-rata</t>
  </si>
  <si>
    <t>Nilai Tertinggi</t>
  </si>
  <si>
    <t>Proses Pengisian</t>
  </si>
  <si>
    <t>4.  Bonus hanya diberikan kepada pekerja berdasarkan kondisi :</t>
  </si>
  <si>
    <t xml:space="preserve">     -  Selain No Gol diatas tidak diberikan bonus</t>
  </si>
  <si>
    <t xml:space="preserve">3.  Kolom Departmen Bagian dan Pokok Pendapatan diisi melalui data pada tabel berdasarkan No. Bagian  </t>
  </si>
  <si>
    <r>
      <t xml:space="preserve">1.  Kolom No. Gol diisi dengan mengambil 2 digit </t>
    </r>
    <r>
      <rPr>
        <b/>
        <sz val="10"/>
        <rFont val="Arial"/>
        <family val="2"/>
      </rPr>
      <t>terakhir</t>
    </r>
    <r>
      <rPr>
        <sz val="10"/>
        <rFont val="Arial"/>
        <family val="2"/>
      </rPr>
      <t xml:space="preserve"> dari urutan digit NrP</t>
    </r>
  </si>
  <si>
    <r>
      <t xml:space="preserve">2.  Kolom No. Bagian diisi dengan mengambil 2 digit </t>
    </r>
    <r>
      <rPr>
        <b/>
        <sz val="10"/>
        <rFont val="Arial"/>
        <family val="2"/>
      </rPr>
      <t>pertama</t>
    </r>
    <r>
      <rPr>
        <sz val="10"/>
        <rFont val="Arial"/>
        <family val="2"/>
      </rPr>
      <t xml:space="preserve"> dari urutan digit NrP</t>
    </r>
  </si>
  <si>
    <r>
      <t xml:space="preserve">     -  Jika No. Gol = "03" </t>
    </r>
    <r>
      <rPr>
        <b/>
        <sz val="10"/>
        <rFont val="Arial"/>
        <family val="2"/>
      </rPr>
      <t>atau</t>
    </r>
    <r>
      <rPr>
        <sz val="10"/>
        <rFont val="Arial"/>
        <family val="2"/>
      </rPr>
      <t xml:space="preserve"> "04", diberikan bonus sebesar 17 % dari Pokok Pendapatan Masing-masing Pekerja </t>
    </r>
  </si>
  <si>
    <r>
      <t xml:space="preserve">5.  PPh dibebankan sebesar 7,5 % </t>
    </r>
    <r>
      <rPr>
        <b/>
        <sz val="10"/>
        <rFont val="Arial"/>
        <family val="2"/>
      </rPr>
      <t>dari</t>
    </r>
    <r>
      <rPr>
        <sz val="10"/>
        <rFont val="Arial"/>
        <family val="2"/>
      </rPr>
      <t xml:space="preserve"> Pokok Pendapatan untuk semua pekerja</t>
    </r>
  </si>
  <si>
    <t xml:space="preserve">6. Total Penerimaan adalah pendapatan masing-masing pekerja dari Pokok Pendapatan setelah ditambah nilai Bonus </t>
  </si>
  <si>
    <t xml:space="preserve">    dan dikurangi PPh</t>
  </si>
  <si>
    <t>LATIAHAN - 14</t>
  </si>
  <si>
    <t>LAPORAN PENJUALAN OBAT</t>
  </si>
  <si>
    <t>APOTEK "KIMIA FARMA INDONESIA"</t>
  </si>
  <si>
    <t>Kode Obat</t>
  </si>
  <si>
    <t>Nama Obat</t>
  </si>
  <si>
    <t>Harga Satuan</t>
  </si>
  <si>
    <t>Jumlah Obat</t>
  </si>
  <si>
    <t>Harga Total (Rp)</t>
  </si>
  <si>
    <t>Nama Apotik</t>
  </si>
  <si>
    <t>Discount (Rp)</t>
  </si>
  <si>
    <t>Bonus (Rp)</t>
  </si>
  <si>
    <t>Pajak (Rp)</t>
  </si>
  <si>
    <t>Total Bayar (Rp)</t>
  </si>
  <si>
    <t>ASP</t>
  </si>
  <si>
    <t>Tunai</t>
  </si>
  <si>
    <t>DCL</t>
  </si>
  <si>
    <t xml:space="preserve">Kredit </t>
  </si>
  <si>
    <t>Sakinah</t>
  </si>
  <si>
    <t>Sejahtera</t>
  </si>
  <si>
    <t>BLS</t>
  </si>
  <si>
    <t>Mujarabah</t>
  </si>
  <si>
    <t>Tabel Obat</t>
  </si>
  <si>
    <t>Aspirin</t>
  </si>
  <si>
    <t>Balsem</t>
  </si>
  <si>
    <t>Decolsin</t>
  </si>
  <si>
    <t>Pembayaran</t>
  </si>
  <si>
    <t>* Nama Obat dan Harga Satuan diperoleh dari Tabel Obat</t>
  </si>
  <si>
    <t>* Total Harga = Harga satuan x Jumlah Obat</t>
  </si>
  <si>
    <t>* Bonus</t>
  </si>
  <si>
    <t>* Discount</t>
  </si>
  <si>
    <t xml:space="preserve">   - Jika Jenis pembayaran = "Tunai" maka discount 15 % dari Total Harga</t>
  </si>
  <si>
    <t xml:space="preserve">   - Jika Jenis pembayaran = "Kredit" maka tidak mendapatkan discount</t>
  </si>
  <si>
    <t>* Pajak = 5 % x Total Harga</t>
  </si>
  <si>
    <t>* Total Bayar = Total Harga + Pajak - Discount - Bonus</t>
  </si>
  <si>
    <t>LATIHAN - 15</t>
  </si>
  <si>
    <t>Laporan Keuntungan Mingguan</t>
  </si>
  <si>
    <t>TOKO "LISTRIK JAYA"</t>
  </si>
  <si>
    <t>Jakarta</t>
  </si>
  <si>
    <t>Minggu</t>
  </si>
  <si>
    <t>Kode Barang</t>
  </si>
  <si>
    <t>Merk Barang</t>
  </si>
  <si>
    <t>Modal Satuan</t>
  </si>
  <si>
    <t>Harga Jual Satuan</t>
  </si>
  <si>
    <t>Jumlah Terjual</t>
  </si>
  <si>
    <t>Modal Pembelian</t>
  </si>
  <si>
    <t>Total Penjualan</t>
  </si>
  <si>
    <t>Laba</t>
  </si>
  <si>
    <t>Bonus Karyawan</t>
  </si>
  <si>
    <t>Nilai Total</t>
  </si>
  <si>
    <t>,,,,,,</t>
  </si>
  <si>
    <t>Kode Merk</t>
  </si>
  <si>
    <t>Merk</t>
  </si>
  <si>
    <t>SL</t>
  </si>
  <si>
    <t>National</t>
  </si>
  <si>
    <t>KA</t>
  </si>
  <si>
    <t>Philips</t>
  </si>
  <si>
    <t>BL</t>
  </si>
  <si>
    <t>Blender</t>
  </si>
  <si>
    <t>LG</t>
  </si>
  <si>
    <t>KK</t>
  </si>
  <si>
    <t>Toshiba</t>
  </si>
  <si>
    <t>MC</t>
  </si>
  <si>
    <t>Samsung</t>
  </si>
  <si>
    <t>01</t>
  </si>
  <si>
    <t>02</t>
  </si>
  <si>
    <t>03</t>
  </si>
  <si>
    <t>04</t>
  </si>
  <si>
    <t>05</t>
  </si>
  <si>
    <t>* Nama Barang diambil dari Tabel 1 berdasarkan Kode Barang</t>
  </si>
  <si>
    <t>Tabel - 1</t>
  </si>
  <si>
    <t>Tabel - 2</t>
  </si>
  <si>
    <t>* Merk diambil dari Tabel 2 berdasarkan Kode Merk</t>
  </si>
  <si>
    <t>Keterangan Kode Barang :</t>
  </si>
  <si>
    <t xml:space="preserve"> Dua digit pertama adalah Kode Barang</t>
  </si>
  <si>
    <t xml:space="preserve"> Dua digit terakhir adalah Kode Merk</t>
  </si>
  <si>
    <t>* Harga jual satuan = Modal satuan + 25 % dari modal satuan</t>
  </si>
  <si>
    <t>* Modal Pembelian = Jumlah terjual x Modal satuan</t>
  </si>
  <si>
    <t>* Total Penjualan = Jumlah terjual x Harga jual satuan</t>
  </si>
  <si>
    <t>* Laba = Total penjualan - Modal Pembelian</t>
  </si>
  <si>
    <t>* Bonus Karyawan</t>
  </si>
  <si>
    <t>Jika nilai Laba &gt; 2 juta rupiah maka Bonus Karyawan = 15 % dari laba</t>
  </si>
  <si>
    <t>Jika nilai Laba &gt;= 1juta rupiah maka Bonus Karyawan = 10 % dari laba</t>
  </si>
  <si>
    <t>Jika nilai Laba &gt;= 500 ribu rupiah maka Bonus Karyawan = 5 % dari laba</t>
  </si>
  <si>
    <t>Jika nilai Laba &lt; 500ribu rupiah maka tidak ada bonus karyawan</t>
  </si>
  <si>
    <t>SL-01</t>
  </si>
  <si>
    <t>KA-01</t>
  </si>
  <si>
    <t>BL-02</t>
  </si>
  <si>
    <t>KK-04</t>
  </si>
  <si>
    <t>MC-05</t>
  </si>
  <si>
    <t>SL-02</t>
  </si>
  <si>
    <t>BL-01</t>
  </si>
  <si>
    <t>KK-03</t>
  </si>
  <si>
    <t>MC-03</t>
  </si>
  <si>
    <t>KK-05</t>
  </si>
  <si>
    <r>
      <t xml:space="preserve">   - Jika </t>
    </r>
    <r>
      <rPr>
        <b/>
        <sz val="10"/>
        <rFont val="Arial"/>
        <family val="2"/>
      </rPr>
      <t>Total Harga</t>
    </r>
    <r>
      <rPr>
        <sz val="10"/>
        <rFont val="Arial"/>
        <charset val="1"/>
      </rPr>
      <t xml:space="preserve"> diatas 500000 maka dapat bonus 10 % dari Total Harga</t>
    </r>
  </si>
  <si>
    <r>
      <t xml:space="preserve">   - Jika </t>
    </r>
    <r>
      <rPr>
        <b/>
        <sz val="10"/>
        <rFont val="Arial"/>
        <family val="2"/>
      </rPr>
      <t>Jumlah Obat</t>
    </r>
    <r>
      <rPr>
        <sz val="10"/>
        <rFont val="Arial"/>
        <charset val="1"/>
      </rPr>
      <t xml:space="preserve"> dibawah 50 maka tidak mendapat bonus</t>
    </r>
  </si>
  <si>
    <t>TABEL BUKU</t>
  </si>
  <si>
    <t>Kode Buku</t>
  </si>
  <si>
    <t>Uang Sewa Per Hari</t>
  </si>
  <si>
    <t>Denda Per Hari</t>
  </si>
  <si>
    <t>Potongan</t>
  </si>
  <si>
    <t>101</t>
  </si>
  <si>
    <t>102</t>
  </si>
  <si>
    <t>Filsafat</t>
  </si>
  <si>
    <t>103</t>
  </si>
  <si>
    <t>Ekonomi</t>
  </si>
  <si>
    <t>104</t>
  </si>
  <si>
    <t>Agama</t>
  </si>
  <si>
    <t>105</t>
  </si>
  <si>
    <t>TANGGAL HARI INI</t>
  </si>
  <si>
    <t>No Urut</t>
  </si>
  <si>
    <t>Banyak Pinjaman</t>
  </si>
  <si>
    <t>Tanggal Harus Kembali</t>
  </si>
  <si>
    <t>Lama Pinjam</t>
  </si>
  <si>
    <t>Bayar Sewa</t>
  </si>
  <si>
    <t>Denda</t>
  </si>
  <si>
    <t>Discount</t>
  </si>
  <si>
    <t>Biaya Total</t>
  </si>
  <si>
    <t>RIKA PUJIASTUTI P</t>
  </si>
  <si>
    <t>IIN DUWI</t>
  </si>
  <si>
    <t>ADE KUSUMA</t>
  </si>
  <si>
    <t>JONI IRAWAN</t>
  </si>
  <si>
    <t>YOSEPH ROBERTO</t>
  </si>
  <si>
    <t>YULI RISTIANTI</t>
  </si>
  <si>
    <t>ISMANTI MULYANDARI</t>
  </si>
  <si>
    <t>YOGA ADHITYA N</t>
  </si>
  <si>
    <t>WISNU FADILA</t>
  </si>
  <si>
    <t>HENY NURHAENI</t>
  </si>
  <si>
    <t>KETENTUAN</t>
  </si>
  <si>
    <t># Bayar Sewa didapat dari Tabel Buku yaitu uang sewa per hari dengan kunci Kode Buku dengan Banyak Pinjaman</t>
  </si>
  <si>
    <t>Misal. Buku yang dipinjam dengan kode buku 103 (denda per hari Rp. 100) dan banyaknya pinjaman buku 5</t>
  </si>
  <si>
    <t>Tanggal harus kembali 10 September 2005, sedangkan hari ini tanggal 19 September 2005</t>
  </si>
  <si>
    <t>Berarti keterlamabatan 10 hari dikalikan dengan banyaknya buku yang dipinjam 5 buah dan denda</t>
  </si>
  <si>
    <t>Jadi Denda yaitu 10 x 100 x 5 = 5,000. Bila Tanggal harus kembali tidak melebihi hari ini berarti tidak didenda (nilai 0)</t>
  </si>
  <si>
    <t xml:space="preserve">   dengan kode buku yang dipinjam dengan ketentuan potongan pada Tabel Buku</t>
  </si>
  <si>
    <r>
      <t xml:space="preserve"># Kolom </t>
    </r>
    <r>
      <rPr>
        <b/>
        <sz val="10"/>
        <rFont val="Arial"/>
        <family val="2"/>
      </rPr>
      <t>Jenis Buku</t>
    </r>
    <r>
      <rPr>
        <sz val="10"/>
        <rFont val="Arial"/>
        <charset val="1"/>
      </rPr>
      <t xml:space="preserve"> didapat dari </t>
    </r>
    <r>
      <rPr>
        <b/>
        <sz val="10"/>
        <rFont val="Arial"/>
        <family val="2"/>
      </rPr>
      <t>Tabel Buku</t>
    </r>
    <r>
      <rPr>
        <sz val="10"/>
        <rFont val="Arial"/>
        <charset val="1"/>
      </rPr>
      <t xml:space="preserve"> dengan kunci </t>
    </r>
    <r>
      <rPr>
        <b/>
        <sz val="10"/>
        <rFont val="Arial"/>
        <family val="2"/>
      </rPr>
      <t>Kode Buku</t>
    </r>
  </si>
  <si>
    <r>
      <t xml:space="preserve"># </t>
    </r>
    <r>
      <rPr>
        <b/>
        <sz val="10"/>
        <rFont val="Arial"/>
        <family val="2"/>
      </rPr>
      <t>Tanggal Pinjam</t>
    </r>
    <r>
      <rPr>
        <sz val="10"/>
        <rFont val="Arial"/>
        <charset val="1"/>
      </rPr>
      <t xml:space="preserve"> ditentukan </t>
    </r>
    <r>
      <rPr>
        <i/>
        <sz val="10"/>
        <rFont val="Arial"/>
        <family val="2"/>
      </rPr>
      <t>14 hari sebelum</t>
    </r>
    <r>
      <rPr>
        <sz val="10"/>
        <rFont val="Arial"/>
        <charset val="1"/>
      </rPr>
      <t xml:space="preserve"> </t>
    </r>
    <r>
      <rPr>
        <b/>
        <sz val="10"/>
        <rFont val="Arial"/>
        <family val="2"/>
      </rPr>
      <t>Tanggal Harus Kembali</t>
    </r>
  </si>
  <si>
    <r>
      <t xml:space="preserve"># </t>
    </r>
    <r>
      <rPr>
        <b/>
        <sz val="10"/>
        <rFont val="Arial"/>
        <family val="2"/>
      </rPr>
      <t>Lama Pinjam</t>
    </r>
    <r>
      <rPr>
        <sz val="10"/>
        <rFont val="Arial"/>
        <charset val="1"/>
      </rPr>
      <t xml:space="preserve"> didapat dari selisih tanggal hari ini dengan </t>
    </r>
    <r>
      <rPr>
        <b/>
        <sz val="10"/>
        <rFont val="Arial"/>
        <family val="2"/>
      </rPr>
      <t>Tanggal Pinjam</t>
    </r>
  </si>
  <si>
    <r>
      <t xml:space="preserve"># </t>
    </r>
    <r>
      <rPr>
        <b/>
        <sz val="10"/>
        <rFont val="Arial"/>
        <family val="2"/>
      </rPr>
      <t xml:space="preserve">Denda </t>
    </r>
    <r>
      <rPr>
        <sz val="10"/>
        <rFont val="Arial"/>
        <charset val="1"/>
      </rPr>
      <t xml:space="preserve">diperoleh bila </t>
    </r>
    <r>
      <rPr>
        <b/>
        <sz val="10"/>
        <rFont val="Arial"/>
        <family val="2"/>
      </rPr>
      <t>Tanggal Harus Kembali</t>
    </r>
    <r>
      <rPr>
        <sz val="10"/>
        <rFont val="Arial"/>
        <charset val="1"/>
      </rPr>
      <t xml:space="preserve"> melebihi </t>
    </r>
    <r>
      <rPr>
        <b/>
        <sz val="10"/>
        <rFont val="Arial"/>
        <family val="2"/>
      </rPr>
      <t>Tanggal Hari ini</t>
    </r>
    <r>
      <rPr>
        <sz val="10"/>
        <rFont val="Arial"/>
        <charset val="1"/>
      </rPr>
      <t xml:space="preserve"> dengan ketentuan keterlambatan hari dikalikan dengan </t>
    </r>
  </si>
  <si>
    <r>
      <t xml:space="preserve">   </t>
    </r>
    <r>
      <rPr>
        <b/>
        <sz val="10"/>
        <rFont val="Arial"/>
        <family val="2"/>
      </rPr>
      <t>Denda Per Hari</t>
    </r>
    <r>
      <rPr>
        <sz val="10"/>
        <rFont val="Arial"/>
        <charset val="1"/>
      </rPr>
      <t xml:space="preserve"> pada Tabel Buku sesuai kunci Kode buku dikalikan banyaknya pinjaman.</t>
    </r>
  </si>
  <si>
    <r>
      <t xml:space="preserve"># </t>
    </r>
    <r>
      <rPr>
        <b/>
        <sz val="10"/>
        <rFont val="Arial"/>
        <family val="2"/>
      </rPr>
      <t>Discount</t>
    </r>
    <r>
      <rPr>
        <sz val="10"/>
        <rFont val="Arial"/>
        <charset val="1"/>
      </rPr>
      <t xml:space="preserve"> didapat dari kelebihan buku pinjaman yang meminjam sama atau lebih dari 5 buku. Kelebihan pinjaman buku disesuaikan </t>
    </r>
  </si>
  <si>
    <r>
      <t xml:space="preserve"># </t>
    </r>
    <r>
      <rPr>
        <b/>
        <sz val="10"/>
        <rFont val="Arial"/>
        <family val="2"/>
      </rPr>
      <t>Biaya Total</t>
    </r>
    <r>
      <rPr>
        <sz val="10"/>
        <rFont val="Arial"/>
        <charset val="1"/>
      </rPr>
      <t xml:space="preserve"> didapat dari jumlah </t>
    </r>
    <r>
      <rPr>
        <b/>
        <sz val="10"/>
        <rFont val="Arial"/>
        <family val="2"/>
      </rPr>
      <t xml:space="preserve">Biaya sewa </t>
    </r>
    <r>
      <rPr>
        <sz val="10"/>
        <rFont val="Arial"/>
        <charset val="1"/>
      </rPr>
      <t xml:space="preserve">dan </t>
    </r>
    <r>
      <rPr>
        <b/>
        <sz val="10"/>
        <rFont val="Arial"/>
        <family val="2"/>
      </rPr>
      <t>Denda</t>
    </r>
    <r>
      <rPr>
        <sz val="10"/>
        <rFont val="Arial"/>
        <charset val="1"/>
      </rPr>
      <t xml:space="preserve"> dikurangi </t>
    </r>
    <r>
      <rPr>
        <b/>
        <sz val="10"/>
        <rFont val="Arial"/>
        <family val="2"/>
      </rPr>
      <t>Discount</t>
    </r>
  </si>
  <si>
    <t>LATIHAN 16</t>
  </si>
  <si>
    <t>PT MARKET CENTER</t>
  </si>
  <si>
    <t>DAFTAR PENJUALAN BARANG</t>
  </si>
  <si>
    <t>NO</t>
  </si>
  <si>
    <t>KODE BARANG</t>
  </si>
  <si>
    <t>JENIS BARANG</t>
  </si>
  <si>
    <t>NAMA BARANG</t>
  </si>
  <si>
    <t>PENJUAL</t>
  </si>
  <si>
    <t>HARGA SATUAN</t>
  </si>
  <si>
    <t>JUMLAH BELI</t>
  </si>
  <si>
    <t>DISCOUNT</t>
  </si>
  <si>
    <t>TOTAL HARGA</t>
  </si>
  <si>
    <t>PK/AR/MT</t>
  </si>
  <si>
    <t>SP/HM/RB</t>
  </si>
  <si>
    <t>CL/LA/RM</t>
  </si>
  <si>
    <t>Data yang Dicari</t>
  </si>
  <si>
    <t>Bila kode barang dari sebelah kiri adalah PK maka jenis barang adalah Pakaian</t>
  </si>
  <si>
    <t>Bila kode barang dari sebelah kiri adalah SP maka jenis barang adalah Sepatu</t>
  </si>
  <si>
    <t>Bila kode barang dari sebelah kiri adalah CL maka jenis barang adalah Celana</t>
  </si>
  <si>
    <t>Jika kode barang AR maka nama barang adalah Baju Arrow</t>
  </si>
  <si>
    <t>Jika kode barang HM maka nama barang adalah Kaos Hammer</t>
  </si>
  <si>
    <t>Jika kode barang LA maka nama barang adalah Celana LEA</t>
  </si>
  <si>
    <t>Bila kode barang adalah MT maka penjualnya adalah Matahari</t>
  </si>
  <si>
    <t>Bila kode barang adalah RB maka penjualnya adalah Robinson</t>
  </si>
  <si>
    <t>Bila kode barang adalah RM maka penjualnya adalah Ramayana</t>
  </si>
  <si>
    <t>4. Harga satuan diisi</t>
  </si>
  <si>
    <t>Bila Jumlah Beli &gt;= 20 maka mendapat discount 5 % dari harga satuan</t>
  </si>
  <si>
    <t>Bila Jumlah Beli &lt; 20 dan Jumlah Beli &gt;= 10 maka mendapat discount 5 % dari harga satuan</t>
  </si>
  <si>
    <t>Bila Jumlah Beli &lt; 10 maka mendapat discount 5 % dari harga satuan</t>
  </si>
  <si>
    <t>Jika Kode Barang AR maka harga satuan = 75.000</t>
  </si>
  <si>
    <t>Jika Kode Barang HM maka harga satuan = 65.000</t>
  </si>
  <si>
    <t>Jika Kode Barang LA maka harga satuan = 45.000</t>
  </si>
  <si>
    <t>Latihan 17</t>
  </si>
  <si>
    <t>1. Jenis Barang diisi</t>
  </si>
  <si>
    <t>2. Nama Barang diisi</t>
  </si>
  <si>
    <t>3. Penjual diisi</t>
  </si>
  <si>
    <t>5. Discount diisi</t>
  </si>
  <si>
    <t>6. Total Harga = (Harga Satuan * Jumlah Beli) + Discount</t>
  </si>
  <si>
    <t>…</t>
  </si>
  <si>
    <t>DAFTAR GAJI</t>
  </si>
  <si>
    <t>PT.HERO</t>
  </si>
  <si>
    <t>JAKARTA - INDONESIA</t>
  </si>
  <si>
    <t>Tanggal Laporan</t>
  </si>
  <si>
    <t>TanggalMasuk</t>
  </si>
  <si>
    <t>Gol</t>
  </si>
  <si>
    <t>Status</t>
  </si>
  <si>
    <t>Jam</t>
  </si>
  <si>
    <t xml:space="preserve">Lama </t>
  </si>
  <si>
    <t>Masa Kerja</t>
  </si>
  <si>
    <t>Tunjangan</t>
  </si>
  <si>
    <t>Gaji Bersih</t>
  </si>
  <si>
    <t>Keluar</t>
  </si>
  <si>
    <t>Istri</t>
  </si>
  <si>
    <t>Anak</t>
  </si>
  <si>
    <t>Uken Sukmaayu</t>
  </si>
  <si>
    <t>SultanIQ</t>
  </si>
  <si>
    <t>Moh Jordan</t>
  </si>
  <si>
    <t>Imron Rosadi</t>
  </si>
  <si>
    <t>Ade Firman</t>
  </si>
  <si>
    <t>Beby Romeo</t>
  </si>
  <si>
    <t>Andi Malarangeng</t>
  </si>
  <si>
    <t>Abdul Rojak</t>
  </si>
  <si>
    <t>Ermawan</t>
  </si>
  <si>
    <t>Darmawan</t>
  </si>
  <si>
    <t>PERINTAH</t>
  </si>
  <si>
    <t>Lama Kerja</t>
  </si>
  <si>
    <t>Jam Pulang - Jam Masuk</t>
  </si>
  <si>
    <t>Tanggal Laporan -Tanggal Masuk</t>
  </si>
  <si>
    <t>Jika Gol = 1 maka Rp 500.000,00</t>
  </si>
  <si>
    <t>jika Gol = 2 maka Rp 550.000,00</t>
  </si>
  <si>
    <t>jika Gol = 3 maka Rp 650.000,00</t>
  </si>
  <si>
    <t>jika Gol = 4 maka Rp 700.000,00</t>
  </si>
  <si>
    <t>Tunjangan istri</t>
  </si>
  <si>
    <t>Jika Status="K"maka Rp 100.000,00</t>
  </si>
  <si>
    <t>Jika Status="B"maka 0</t>
  </si>
  <si>
    <t>Tunjangan Anak</t>
  </si>
  <si>
    <t>jika Golongan = 1 maka Rp  75.000,00</t>
  </si>
  <si>
    <t>jika Golongan = 2 maka Rp 100.000,00</t>
  </si>
  <si>
    <t>Jika Golongan = 3 maka Rp 120.000,00</t>
  </si>
  <si>
    <t>Jika golongan = 4 maka Rp 150.000,00</t>
  </si>
  <si>
    <t>= Gaji pokok + tunjangan</t>
  </si>
  <si>
    <t>=5% * gaji pokok</t>
  </si>
  <si>
    <t>=Total Gaji - pajak</t>
  </si>
  <si>
    <t>Total</t>
  </si>
  <si>
    <t>DAFTAR GAJI PEGAWAI</t>
  </si>
  <si>
    <t>PT.HERO GROUP</t>
  </si>
  <si>
    <t>JAKARTA-INDONESIA</t>
  </si>
  <si>
    <t>NAMA PEGAWAI</t>
  </si>
  <si>
    <t>GOL</t>
  </si>
  <si>
    <t>STATUS</t>
  </si>
  <si>
    <t>JABATAN</t>
  </si>
  <si>
    <t>GAJI POKOK</t>
  </si>
  <si>
    <t>TUNJ.ANAK</t>
  </si>
  <si>
    <t>TUNJ.ISTRI</t>
  </si>
  <si>
    <t>JUMLAH GAJI</t>
  </si>
  <si>
    <t>POTONGAN</t>
  </si>
  <si>
    <t>TOTAL GAJI</t>
  </si>
  <si>
    <t>Datuk Maringgih</t>
  </si>
  <si>
    <t>I</t>
  </si>
  <si>
    <t>Damsik</t>
  </si>
  <si>
    <t>II</t>
  </si>
  <si>
    <t>Abilio Soares</t>
  </si>
  <si>
    <t>Mukhtar Pahpahan</t>
  </si>
  <si>
    <t>Budiono</t>
  </si>
  <si>
    <t>Jordan Indo</t>
  </si>
  <si>
    <t>Irma Ratna</t>
  </si>
  <si>
    <t>mangun Harjo</t>
  </si>
  <si>
    <t>III</t>
  </si>
  <si>
    <t>perintah</t>
  </si>
  <si>
    <t xml:space="preserve">K = kawin </t>
  </si>
  <si>
    <t>B = belum kawin</t>
  </si>
  <si>
    <t>Jika golongan = "I" maka "Marketing"</t>
  </si>
  <si>
    <t>Jika golongan = "II" maka "Administrasi"</t>
  </si>
  <si>
    <t>Jika golongan = "III" maka "Direktur"</t>
  </si>
  <si>
    <t>jika jabatan = "Marketing" maka Rp 250.000,00</t>
  </si>
  <si>
    <t>jika jabatan = "Direktur" maka Rp 500.000,00</t>
  </si>
  <si>
    <t>jika jabatan = "Administrasi" maka Rp 300.000,00</t>
  </si>
  <si>
    <t>Jika status = "K" maka Rp 100.000,00</t>
  </si>
  <si>
    <t>Jika Status = "B" maka Rp 75.000,00</t>
  </si>
  <si>
    <t>Tunjangan Istri</t>
  </si>
  <si>
    <t>Jika Status = "K" maka Rp 150.000,00</t>
  </si>
  <si>
    <t>Jika Status = " B" maka 0</t>
  </si>
  <si>
    <t>Jumlah Gaji</t>
  </si>
  <si>
    <t>gaji pokok + tunjangan</t>
  </si>
  <si>
    <t>Jika Jumlah gaji lebih dari Rp 600.000,00 maka 5% dari Gaji pokok</t>
  </si>
  <si>
    <r>
      <t>Jika Jumlah gaji kurang dari Rp 600.000,00 maka 1</t>
    </r>
    <r>
      <rPr>
        <sz val="10"/>
        <rFont val="Arial"/>
        <family val="2"/>
      </rPr>
      <t>,5%</t>
    </r>
    <r>
      <rPr>
        <sz val="10"/>
        <rFont val="Arial"/>
        <charset val="1"/>
      </rPr>
      <t xml:space="preserve">  dari Gaji pokok</t>
    </r>
  </si>
  <si>
    <t>= jumlah gaji - potongan</t>
  </si>
  <si>
    <t>PT.PLN JAYA</t>
  </si>
  <si>
    <t>BEAYA REKENING LISTRIK</t>
  </si>
  <si>
    <t>BULAN DESEMBER</t>
  </si>
  <si>
    <t>JENIS</t>
  </si>
  <si>
    <t>METERAN</t>
  </si>
  <si>
    <t>BIAYA</t>
  </si>
  <si>
    <t>DAYA</t>
  </si>
  <si>
    <t>AWAL</t>
  </si>
  <si>
    <t>AKHIR</t>
  </si>
  <si>
    <t>TERPAKAI</t>
  </si>
  <si>
    <t>BEBAN</t>
  </si>
  <si>
    <t>METERAN /KWH</t>
  </si>
  <si>
    <t>PEMAKAIAN</t>
  </si>
  <si>
    <t>KAKA SLANK</t>
  </si>
  <si>
    <t>65-NA-35</t>
  </si>
  <si>
    <t>DHANI DEWA</t>
  </si>
  <si>
    <t>35-RM-04</t>
  </si>
  <si>
    <t>ARMAN MAULANA</t>
  </si>
  <si>
    <t>35-RM-09</t>
  </si>
  <si>
    <t>PIYU PADI</t>
  </si>
  <si>
    <t>20-SS-23</t>
  </si>
  <si>
    <t>KRISDAYANTI</t>
  </si>
  <si>
    <t>MEMES</t>
  </si>
  <si>
    <t>DUTA SHELA ON 7</t>
  </si>
  <si>
    <t>DEWA BUJANA</t>
  </si>
  <si>
    <t>EBIT G ADE</t>
  </si>
  <si>
    <t>IWAN FALS</t>
  </si>
  <si>
    <t>NAMA PELANGGAN</t>
  </si>
  <si>
    <t>BESAR DAYA</t>
  </si>
  <si>
    <t>jika kode "NA" maka "Niaga"</t>
  </si>
  <si>
    <t>jika kode "RM" maka "Rumah"</t>
  </si>
  <si>
    <t>jika kode "SS" maka "Sosial"</t>
  </si>
  <si>
    <t>Jenis (kode diambil dari tengah)</t>
  </si>
  <si>
    <t>Besar daya (kode diambil dari kanan)</t>
  </si>
  <si>
    <t>jika kode "04" maka 450</t>
  </si>
  <si>
    <t>jika kode "09" maka 900</t>
  </si>
  <si>
    <t>jika kode "13" maka 1300</t>
  </si>
  <si>
    <t>jika kode "35" maka 3500</t>
  </si>
  <si>
    <t>Meteran Terpakai</t>
  </si>
  <si>
    <t>=meteran akhir - meteran awal</t>
  </si>
  <si>
    <t>Beaya Beban</t>
  </si>
  <si>
    <t>jika kode "20" maka 15000</t>
  </si>
  <si>
    <t>jika kode "35" maka 35000</t>
  </si>
  <si>
    <t>jika kode "65" maka 50000</t>
  </si>
  <si>
    <t>Biaya meteran/KWH</t>
  </si>
  <si>
    <t>jika besar daya kurang dari 1000 maka Rp 450,00</t>
  </si>
  <si>
    <t>jika besar daya kurang dari 2000 maka Rp 650,00</t>
  </si>
  <si>
    <t>jika besar daya kurang dari 2000 maka Rp 450,00</t>
  </si>
  <si>
    <t>Biaya Pemakaian</t>
  </si>
  <si>
    <t>= metran terpakai *biaya/KWA</t>
  </si>
  <si>
    <t>Jumlah bayar</t>
  </si>
  <si>
    <t>= biaya beban+biaya pemakaian</t>
  </si>
  <si>
    <t>JUMLAH BAYAR</t>
  </si>
  <si>
    <t>PENGINAPAN MAWAR BERDURI</t>
  </si>
  <si>
    <t>PUNCAK-CISARUA</t>
  </si>
  <si>
    <t>TYPE KAMAR</t>
  </si>
  <si>
    <t>JENIS BED</t>
  </si>
  <si>
    <t>KELAS</t>
  </si>
  <si>
    <t>LANTAI</t>
  </si>
  <si>
    <t>LAMA INAP</t>
  </si>
  <si>
    <t>BIAYA   SEWA</t>
  </si>
  <si>
    <t>BIAYA TAMBAHAN</t>
  </si>
  <si>
    <t>CENDRA MATA</t>
  </si>
  <si>
    <t>TOTAL       BIAYA</t>
  </si>
  <si>
    <t>KAMAR</t>
  </si>
  <si>
    <t>Kaka slank</t>
  </si>
  <si>
    <t>VID</t>
  </si>
  <si>
    <t>dhani dewa</t>
  </si>
  <si>
    <t>F2S</t>
  </si>
  <si>
    <t>Arman Maulana</t>
  </si>
  <si>
    <t>F3S</t>
  </si>
  <si>
    <t>Piyu  Padi</t>
  </si>
  <si>
    <t>S2D</t>
  </si>
  <si>
    <t>Krisdayanti</t>
  </si>
  <si>
    <t>V1S</t>
  </si>
  <si>
    <t>Memes</t>
  </si>
  <si>
    <t>Duta Shela on7</t>
  </si>
  <si>
    <t>Dewa Bujana</t>
  </si>
  <si>
    <t>S3S</t>
  </si>
  <si>
    <t>Ebit Gade</t>
  </si>
  <si>
    <t>V2S</t>
  </si>
  <si>
    <t>Iwan Fals</t>
  </si>
  <si>
    <t>F1D</t>
  </si>
  <si>
    <t>Gunakan Rumus membaca kode = RIGHT(sel;jum huruf yg diambil) dalam pengandaian (IF)</t>
  </si>
  <si>
    <t>jika Type kamar ="D" maka "Double"</t>
  </si>
  <si>
    <t>jika Type kamar ="S" maka "Single"</t>
  </si>
  <si>
    <t>Kelas</t>
  </si>
  <si>
    <t>Gunakan Rumus membaca kode = LEFT(sel;jum huruf yg diambil) dalam pengandaian (IF)</t>
  </si>
  <si>
    <t>jika Type kamar ="V" maka "VIP"</t>
  </si>
  <si>
    <t>jika Type kamar ="F" maka "Family"</t>
  </si>
  <si>
    <t>jika Type kamar ="S" maka "Suitroom"</t>
  </si>
  <si>
    <t>Lantai</t>
  </si>
  <si>
    <t>Gunakan Rumus membaca kode = MID(sel;urutan huruf ke;jum huruf yg diambil) dalam rumus pengandaian (IF)</t>
  </si>
  <si>
    <t>Jika Type kamar ="1" maka "lantai 1"</t>
  </si>
  <si>
    <t>Jika Type kamar ="2" maka "lantai 2"</t>
  </si>
  <si>
    <t>Jika Type kamar ="3" maka "lantai 3"</t>
  </si>
  <si>
    <t>Biaya Sewa</t>
  </si>
  <si>
    <t>jika kelas = "VIP" maka Rp 350.000,00</t>
  </si>
  <si>
    <t>jika kelas = "Family" maka Rp 250.000,00</t>
  </si>
  <si>
    <t>jika kelas = "Suitroom" maka Rp 75.000,00</t>
  </si>
  <si>
    <t>Biaya Tambahan</t>
  </si>
  <si>
    <t>jika jenis bed = "Double" maka 5% * biaya sewa</t>
  </si>
  <si>
    <t>jika jenis bed = "Single" maka 0 * biaya sewa</t>
  </si>
  <si>
    <t>PT.GAJAHMADA MOBILINDO</t>
  </si>
  <si>
    <t>BULAN DESEMBER 2005</t>
  </si>
  <si>
    <t>NAMA PT</t>
  </si>
  <si>
    <t>HARGA MOBIL</t>
  </si>
  <si>
    <t>ONGKOS MOBIL</t>
  </si>
  <si>
    <t>PEMBELIAN</t>
  </si>
  <si>
    <t>PEMBAYARAN</t>
  </si>
  <si>
    <t>BANK BALI</t>
  </si>
  <si>
    <t>MK</t>
  </si>
  <si>
    <t>PUSTAKA</t>
  </si>
  <si>
    <t>MD</t>
  </si>
  <si>
    <t>DANAMON</t>
  </si>
  <si>
    <t>MS</t>
  </si>
  <si>
    <t>KOMPASINDO</t>
  </si>
  <si>
    <t>INTERMEDIA</t>
  </si>
  <si>
    <t>KRAKATAU</t>
  </si>
  <si>
    <t>PERMATA</t>
  </si>
  <si>
    <t>RUMPUSS</t>
  </si>
  <si>
    <t>INTRAS</t>
  </si>
  <si>
    <t>MAX</t>
  </si>
  <si>
    <t>MIN</t>
  </si>
  <si>
    <t>RATA-RATA</t>
  </si>
  <si>
    <t>KODE MOBIL</t>
  </si>
  <si>
    <t>JUMLAH PEMBELIAN</t>
  </si>
  <si>
    <t>NAMA MOBIL</t>
  </si>
  <si>
    <t>JUMLAH DISCOUNT</t>
  </si>
  <si>
    <t>JUMLAH PEMBAYARAN</t>
  </si>
  <si>
    <t>=((HARGA MOBIL+ONGKOS MOBIL)*JUMLAH PEMBELIAN)-DISCOUNT</t>
  </si>
  <si>
    <t>jika jumlah pembelian lebih dari 5 maka 5% dari harga mobil</t>
  </si>
  <si>
    <t>jika jumlah pembelian kurang dari 5 maka 0% dari harga mobil</t>
  </si>
  <si>
    <t>jika kode ="MK" maka  "KIJANG"</t>
  </si>
  <si>
    <t>jika kode ="MD" maka  "Daihatsu"</t>
  </si>
  <si>
    <t>jika kode ="MS" maka  "Suzuki"</t>
  </si>
  <si>
    <t>jika kode ="MK" maka  Rp 250.000.000,00</t>
  </si>
  <si>
    <t>jika kode ="MD" maka  Rp 350.000.000,00</t>
  </si>
  <si>
    <t>jika kode ="MS" maka  Rp 400.000.000,00</t>
  </si>
  <si>
    <t>jika kode ="MK" maka 10% dari harga mobil</t>
  </si>
  <si>
    <t>jika kode ="MD" maka 15% dari harga mobil</t>
  </si>
  <si>
    <t>jika kode ="MS" maka 18% dari harga mobil</t>
  </si>
  <si>
    <t>DAFTAR NILAI UJIAN SISWA</t>
  </si>
  <si>
    <t>SMA NEGERI 1 JAKARTA</t>
  </si>
  <si>
    <t>TAHUN 1987</t>
  </si>
  <si>
    <t>NAMA SISWA</t>
  </si>
  <si>
    <t>PREDIKAT</t>
  </si>
  <si>
    <t>KETERANGAN</t>
  </si>
  <si>
    <t>MATEMATIKA</t>
  </si>
  <si>
    <t xml:space="preserve">FISIKA </t>
  </si>
  <si>
    <t>BIOLOGI</t>
  </si>
  <si>
    <t>KIMIA</t>
  </si>
  <si>
    <t>Kaka Slank</t>
  </si>
  <si>
    <t>Dhani Dewa</t>
  </si>
  <si>
    <t xml:space="preserve">Arman Maulana </t>
  </si>
  <si>
    <t>Piyu Padi</t>
  </si>
  <si>
    <t>Duta Shela on 7</t>
  </si>
  <si>
    <t xml:space="preserve">Dewa  Bujana </t>
  </si>
  <si>
    <t>Ebit G ade</t>
  </si>
  <si>
    <t>Nilai tertinggi</t>
  </si>
  <si>
    <t>Nilai terendah</t>
  </si>
  <si>
    <t xml:space="preserve">PERINTAH </t>
  </si>
  <si>
    <t>Jika rata-rata lebih dari 70 maka "LULUS"</t>
  </si>
  <si>
    <t>jika rata-rata kurang dari 70 maka "GAGAL"</t>
  </si>
  <si>
    <t>jika rata-rata kurang dari 60 maka "D"</t>
  </si>
  <si>
    <t>jika rata-rata lebih dari 60, kurang dari 80 maka "C"</t>
  </si>
  <si>
    <t>jika rata-rata lebih dari 80, kurang dari 90 maka "B"</t>
  </si>
  <si>
    <t>jika rata-rata lebih dari 90 maka "A"</t>
  </si>
  <si>
    <t xml:space="preserve">NILAI TERTINGGI </t>
  </si>
  <si>
    <t>= MAX(SEL AWAL:SEL AKHIR)</t>
  </si>
  <si>
    <t xml:space="preserve">NILAI TERENDAH </t>
  </si>
  <si>
    <t>= MIN(SEL AWAL:SEL AKHIR)</t>
  </si>
  <si>
    <t xml:space="preserve">NILAI RATA-RATA </t>
  </si>
  <si>
    <t>= AVERAGE(SEL AWAL:SEL AKHIR)</t>
  </si>
  <si>
    <t>= SUM(SEL AWAL:SEL AKHIR)</t>
  </si>
  <si>
    <t xml:space="preserve">TOKO BUKU JORDAN </t>
  </si>
  <si>
    <t>LAPORAN BULAN DESEMBER 2005</t>
  </si>
  <si>
    <t>NAMA PEMBELI</t>
  </si>
  <si>
    <t>JUMLAH BARANG</t>
  </si>
  <si>
    <t>JUMLAH TERJUAL</t>
  </si>
  <si>
    <t>SISA BARANG</t>
  </si>
  <si>
    <t>JUMLAH HARGA</t>
  </si>
  <si>
    <t xml:space="preserve">POTONGAN </t>
  </si>
  <si>
    <t>Kertas Legal</t>
  </si>
  <si>
    <t>Susilo Bambang  yudoyono</t>
  </si>
  <si>
    <t>kertas A4</t>
  </si>
  <si>
    <t>Megawati Sukarno Putri</t>
  </si>
  <si>
    <t>Kertas Letter</t>
  </si>
  <si>
    <t>Wiranto</t>
  </si>
  <si>
    <t>Buku Gambar</t>
  </si>
  <si>
    <t>Amin Rais</t>
  </si>
  <si>
    <t>Buku Tulis</t>
  </si>
  <si>
    <t>Hamzah Has</t>
  </si>
  <si>
    <t>Penggaris</t>
  </si>
  <si>
    <t>Gusdur</t>
  </si>
  <si>
    <t>Bolpoin</t>
  </si>
  <si>
    <t>Gussoleh</t>
  </si>
  <si>
    <t>Pinsil</t>
  </si>
  <si>
    <t xml:space="preserve">Akbar Tanjung </t>
  </si>
  <si>
    <t>Map</t>
  </si>
  <si>
    <t>Tas</t>
  </si>
  <si>
    <t>Spidol</t>
  </si>
  <si>
    <t>Typex</t>
  </si>
  <si>
    <t>Majalah MBS</t>
  </si>
  <si>
    <t>Majalah PC</t>
  </si>
  <si>
    <t>Majalah Nova</t>
  </si>
  <si>
    <t>Suharto</t>
  </si>
  <si>
    <t xml:space="preserve">Jumlah Harga </t>
  </si>
  <si>
    <t>= Jumlah Terjual * Harga Satuan</t>
  </si>
  <si>
    <t xml:space="preserve">Sisa Barang </t>
  </si>
  <si>
    <t>= Jumlah Barang - Jumlah Terjual</t>
  </si>
  <si>
    <t>Jumlah Bayar</t>
  </si>
  <si>
    <t>=Jumlah harga - ( Potongan * Jumlah Harga)</t>
  </si>
  <si>
    <t>DAFTAR GAJI KARYAWAN</t>
  </si>
  <si>
    <t>PT.JORDAN JAYA</t>
  </si>
  <si>
    <t>JAKARTA TIMUR</t>
  </si>
  <si>
    <t xml:space="preserve">Satus </t>
  </si>
  <si>
    <t>Gaji pokok</t>
  </si>
  <si>
    <t>Iuran Koperasi</t>
  </si>
  <si>
    <t>Gaji Kotor</t>
  </si>
  <si>
    <t>M alief</t>
  </si>
  <si>
    <t>Staf HRD</t>
  </si>
  <si>
    <t>Fa'iz</t>
  </si>
  <si>
    <t>Afyanto</t>
  </si>
  <si>
    <t>Irvanka</t>
  </si>
  <si>
    <t>Staf Produksi</t>
  </si>
  <si>
    <t>Nur Rosid</t>
  </si>
  <si>
    <t>Pratama</t>
  </si>
  <si>
    <t>Endika</t>
  </si>
  <si>
    <t>Dewa</t>
  </si>
  <si>
    <t>Dandy</t>
  </si>
  <si>
    <t>Staf produksi</t>
  </si>
  <si>
    <t>Azka</t>
  </si>
  <si>
    <t>Security</t>
  </si>
  <si>
    <t>TUNJANGAN</t>
  </si>
  <si>
    <t>30% dari Gaji Pokok</t>
  </si>
  <si>
    <t>1,5% dari Gaji Pokok</t>
  </si>
  <si>
    <t>20% dari (Gaji pokok + tunjangan)</t>
  </si>
  <si>
    <t>(Gaji pokok + tunjangan + bonus) - iuran koperasi</t>
  </si>
  <si>
    <t>jika gaji kotor lebih dari Rp 900.000,00 maka pajak 5% dari Gaji pokok</t>
  </si>
  <si>
    <t>jika gaji kotor lebih dari Rp 400.000,00 maka pajak 2,5% dari Gaji pokok</t>
  </si>
  <si>
    <t>jika gaji kotor kurang dari Rp 150.000,00 maka pajak 1% dari Gaji pokok</t>
  </si>
  <si>
    <t>Gaji kotor - pajak</t>
  </si>
  <si>
    <t>Kriteria</t>
  </si>
  <si>
    <t>Total data</t>
  </si>
  <si>
    <t>* Total { fungsi sumif() }</t>
  </si>
  <si>
    <r>
      <t xml:space="preserve">* </t>
    </r>
    <r>
      <rPr>
        <b/>
        <sz val="10"/>
        <rFont val="Arial"/>
        <family val="2"/>
      </rPr>
      <t>Total data { fungsi countif() }</t>
    </r>
  </si>
  <si>
    <t>Total Buku</t>
  </si>
  <si>
    <t>Pendapatan</t>
  </si>
  <si>
    <t>*Pendapatan { fungsi sumif() }</t>
  </si>
  <si>
    <t>* Total Buku {fungsi Countif()}</t>
  </si>
  <si>
    <t>Jumlah Peminjam</t>
  </si>
  <si>
    <t>* Jumlah Peminjam { count () }</t>
  </si>
  <si>
    <r>
      <t xml:space="preserve">* </t>
    </r>
    <r>
      <rPr>
        <b/>
        <sz val="12"/>
        <rFont val="Arial"/>
        <family val="2"/>
      </rPr>
      <t>Jumlah Belanja</t>
    </r>
    <r>
      <rPr>
        <sz val="12"/>
        <rFont val="Arial"/>
        <family val="2"/>
      </rPr>
      <t xml:space="preserve"> : Harga Barang x Jumlah Barang</t>
    </r>
  </si>
  <si>
    <t>Countif</t>
  </si>
  <si>
    <t>Sumif</t>
  </si>
  <si>
    <t>Gunakan rumus ANDdalam rumus pengandaian (IF)</t>
  </si>
  <si>
    <t>RAMAL</t>
  </si>
  <si>
    <t>TANGGAL LAHIR</t>
  </si>
  <si>
    <t>KODE LAHIR</t>
  </si>
  <si>
    <t>HARI LAHIR</t>
  </si>
  <si>
    <t>UMUR</t>
  </si>
  <si>
    <t>CIRI/WATAK</t>
  </si>
  <si>
    <t>TAHUN</t>
  </si>
  <si>
    <t>BULAN</t>
  </si>
  <si>
    <t>HARI</t>
  </si>
  <si>
    <t>CITRA MULIA SARI</t>
  </si>
  <si>
    <t>APLIKASI</t>
  </si>
  <si>
    <t>RADITYA DANU ERLANGGA</t>
  </si>
  <si>
    <t>AKBAR WALADI</t>
  </si>
  <si>
    <t>IMANUL ANGGA</t>
  </si>
  <si>
    <t>PC KID</t>
  </si>
  <si>
    <t>NITA AMALIA</t>
  </si>
  <si>
    <t>FIKRI HERIANSYAH</t>
  </si>
  <si>
    <t>BIMO WICAKSONO</t>
  </si>
  <si>
    <t>AGUNG SYAFAAT</t>
  </si>
  <si>
    <t>COREL</t>
  </si>
  <si>
    <t>ARIF RAHMAN MUSLIM</t>
  </si>
  <si>
    <t>PHOTO SHOP</t>
  </si>
  <si>
    <t>NADIA WULANDARI</t>
  </si>
  <si>
    <t>ACCESS</t>
  </si>
  <si>
    <t>NOVIA LORENTA</t>
  </si>
  <si>
    <t>AUTO CAD</t>
  </si>
  <si>
    <t>FAJRI HARTANTO</t>
  </si>
  <si>
    <t>RENE CRISTIAN TUMENGKOL</t>
  </si>
  <si>
    <t>GMO 1</t>
  </si>
  <si>
    <t>YUDHA DERI PRATAMA</t>
  </si>
  <si>
    <t>RIZAL YANUAR</t>
  </si>
  <si>
    <t>GMO 2</t>
  </si>
  <si>
    <t>CIRI WATAKNYA</t>
  </si>
  <si>
    <t>MINGGU</t>
  </si>
  <si>
    <t>PERIANG, CENTIL,RINGAN TANGAN, KHARISMATIK</t>
  </si>
  <si>
    <t>SENIN</t>
  </si>
  <si>
    <t>JUJUR, TEGAS, PENOLONG</t>
  </si>
  <si>
    <t>SELASA</t>
  </si>
  <si>
    <t>KADANG MUNAFIK, KERAS KEPALA</t>
  </si>
  <si>
    <t>RABU</t>
  </si>
  <si>
    <t>PENOLONG, TEGAS, TIDAK SABARAN</t>
  </si>
  <si>
    <t>KAMIS</t>
  </si>
  <si>
    <t>PEMARAH, KERAS HATI, SUKA DIPUJI</t>
  </si>
  <si>
    <t>JUMAT</t>
  </si>
  <si>
    <t>PERIANG, RAMAH, DAN CERDAS</t>
  </si>
  <si>
    <t>SABTU</t>
  </si>
  <si>
    <t>SULIT DITEBAK, ANGIN-ANGINAN, KERAS DALAM BERJUANG</t>
  </si>
  <si>
    <t xml:space="preserve">Tanggal Test </t>
  </si>
  <si>
    <t>GAJI KARYAWAN</t>
  </si>
  <si>
    <t xml:space="preserve">PT. MUTIARA INDAH </t>
  </si>
  <si>
    <t>NIP</t>
  </si>
  <si>
    <t>PANGKAT</t>
  </si>
  <si>
    <t>GAJI KOTOR</t>
  </si>
  <si>
    <t>JUMLAH POTONGAN</t>
  </si>
  <si>
    <t>GAJI BERSIH</t>
  </si>
  <si>
    <t>HARI KERJA</t>
  </si>
  <si>
    <t>JAM LEMBUR</t>
  </si>
  <si>
    <t>OBAT</t>
  </si>
  <si>
    <t xml:space="preserve">UANG MAKAN </t>
  </si>
  <si>
    <t>TRANSPORT</t>
  </si>
  <si>
    <t>UANG LEMBUR</t>
  </si>
  <si>
    <t>ASKES</t>
  </si>
  <si>
    <t>PENSIUN</t>
  </si>
  <si>
    <t>PAJAK</t>
  </si>
  <si>
    <t>DAVID PRAKOSA</t>
  </si>
  <si>
    <t>CC</t>
  </si>
  <si>
    <t>DINA SAHRULEKHA</t>
  </si>
  <si>
    <t>SPV-9</t>
  </si>
  <si>
    <t>DANIEL BEDINGFIELD</t>
  </si>
  <si>
    <t>SC-6</t>
  </si>
  <si>
    <t>RONAN KEATING</t>
  </si>
  <si>
    <t>SHANIA TWAIN</t>
  </si>
  <si>
    <t>SPV-8</t>
  </si>
  <si>
    <t>BRIAN MC KNIGHT</t>
  </si>
  <si>
    <t>CHRISTINA</t>
  </si>
  <si>
    <t>DORA</t>
  </si>
  <si>
    <t>SC-7</t>
  </si>
  <si>
    <t>BARBARA</t>
  </si>
  <si>
    <t>CELSI</t>
  </si>
  <si>
    <t xml:space="preserve">GAJI POKOK </t>
  </si>
  <si>
    <t>TRAVEL BEBAS HAMBATAN</t>
  </si>
  <si>
    <t>JL. TERUS NO.3 ANTAH BERANTAH</t>
  </si>
  <si>
    <t>TABEL 1 (VLOOKUP)</t>
  </si>
  <si>
    <t>JURUSAN</t>
  </si>
  <si>
    <t>TARIF</t>
  </si>
  <si>
    <t>PD-JK</t>
  </si>
  <si>
    <t>PADANG - JAKARTA</t>
  </si>
  <si>
    <t>YG-PD</t>
  </si>
  <si>
    <t>YOGYA - PADANG</t>
  </si>
  <si>
    <t>SB-PD</t>
  </si>
  <si>
    <t>SURABAYA - PADANG</t>
  </si>
  <si>
    <t>MD-PD</t>
  </si>
  <si>
    <t>MEDAN - PADANG</t>
  </si>
  <si>
    <t>TABEL 2 (HLOOKUP)</t>
  </si>
  <si>
    <t>GD</t>
  </si>
  <si>
    <t>SM</t>
  </si>
  <si>
    <t>MT</t>
  </si>
  <si>
    <t>BQ</t>
  </si>
  <si>
    <t>JENIS PESAWAT</t>
  </si>
  <si>
    <t>GARUDA</t>
  </si>
  <si>
    <t>SIMPATI</t>
  </si>
  <si>
    <t>MERPATI</t>
  </si>
  <si>
    <t>BURAQ</t>
  </si>
  <si>
    <t>LAPORAN PENERBANGAN</t>
  </si>
  <si>
    <t>NAMA PENUMPANG</t>
  </si>
  <si>
    <t>HARGA TIKET</t>
  </si>
  <si>
    <t>BONUS</t>
  </si>
  <si>
    <t>PD-JK-010-GD</t>
  </si>
  <si>
    <t>AGUSTIAN RIFAI</t>
  </si>
  <si>
    <t>YG-PD-030-SM</t>
  </si>
  <si>
    <t>BAMBANG HERLAMBANG</t>
  </si>
  <si>
    <t>SB-PD-020-GD</t>
  </si>
  <si>
    <t>CINDY PATRICIA</t>
  </si>
  <si>
    <t>MD-PD-020-BQ</t>
  </si>
  <si>
    <t>DANANG SANGKA BUANA</t>
  </si>
  <si>
    <t>ELIS SURYANI</t>
  </si>
  <si>
    <t>FERRY JO</t>
  </si>
  <si>
    <t>GEMBERIALDO</t>
  </si>
  <si>
    <t>HARRY ADI PRAJA</t>
  </si>
  <si>
    <t xml:space="preserve">LAPORAN PENJUALAN BARANG </t>
  </si>
  <si>
    <t>PT. PERMATA PURI</t>
  </si>
  <si>
    <t>Bulan : Oktober 2005</t>
  </si>
  <si>
    <t>TANGGAL PENJUALAN</t>
  </si>
  <si>
    <t>JUMLAH PENJUALAN</t>
  </si>
  <si>
    <t>HARGA BARANG</t>
  </si>
  <si>
    <t>TOTAL PEMASUKAN</t>
  </si>
  <si>
    <t>QUARTO</t>
  </si>
  <si>
    <t>B.INGGRIS</t>
  </si>
  <si>
    <t>BOXY</t>
  </si>
  <si>
    <t>EKONOMI</t>
  </si>
  <si>
    <t>PILOT</t>
  </si>
  <si>
    <t>FOLIO</t>
  </si>
  <si>
    <t>KOMPUTER</t>
  </si>
  <si>
    <t>B.JEPANG</t>
  </si>
  <si>
    <t>BUKU</t>
  </si>
  <si>
    <t>ATS</t>
  </si>
  <si>
    <t>BKU</t>
  </si>
  <si>
    <t>KTR</t>
  </si>
  <si>
    <t>ALAT TULIS</t>
  </si>
  <si>
    <t>KERTAS</t>
  </si>
  <si>
    <t>B.INDONESIA</t>
  </si>
  <si>
    <t>AKUNTANSI</t>
  </si>
  <si>
    <t>AGENDA</t>
  </si>
  <si>
    <t>LAPORAN PENJUALAN BARANG TOKO ALAM RAYA</t>
  </si>
  <si>
    <t>JL. NUSANTARA RAYA NO. 23 BEKASI TIMUR</t>
  </si>
  <si>
    <t>Harga Satuan/kg</t>
  </si>
  <si>
    <t>Keuntungan/kg</t>
  </si>
  <si>
    <t>BRSR</t>
  </si>
  <si>
    <t>Beras Setra Ramos</t>
  </si>
  <si>
    <t>BRPW</t>
  </si>
  <si>
    <t>Beras Pandan Sari</t>
  </si>
  <si>
    <t>Tabel 2</t>
  </si>
  <si>
    <t>GLTS</t>
  </si>
  <si>
    <t>Gula Diet Tropi Kana Slim</t>
  </si>
  <si>
    <t>TPTK</t>
  </si>
  <si>
    <t>TPTG</t>
  </si>
  <si>
    <t>KPKA</t>
  </si>
  <si>
    <t>KPGT</t>
  </si>
  <si>
    <t>Sagu Tropi Kana</t>
  </si>
  <si>
    <t>Jenis</t>
  </si>
  <si>
    <t>Beras</t>
  </si>
  <si>
    <t>Gula</t>
  </si>
  <si>
    <t>Tepung</t>
  </si>
  <si>
    <t>Kopi</t>
  </si>
  <si>
    <t>Terigu Segatiga Biru</t>
  </si>
  <si>
    <t>Kopi Kapal Api</t>
  </si>
  <si>
    <t>Kopi Glatik</t>
  </si>
  <si>
    <t>Bulan Oktober 2005</t>
  </si>
  <si>
    <t>No. Barang</t>
  </si>
  <si>
    <t>Tgl Penjualan</t>
  </si>
  <si>
    <t>Jml Penjualan</t>
  </si>
  <si>
    <t>Total Harga</t>
  </si>
  <si>
    <t>Keuntungan</t>
  </si>
  <si>
    <t>Sovenir</t>
  </si>
  <si>
    <t>Total Pembayaran</t>
  </si>
  <si>
    <t>Total Keuntungan</t>
  </si>
  <si>
    <t>Perintah</t>
  </si>
  <si>
    <t>gaji pokok diambil dari tabel bantu</t>
  </si>
  <si>
    <t xml:space="preserve">Tunjangan Obat </t>
  </si>
  <si>
    <t>1/6 dari gaji pokok</t>
  </si>
  <si>
    <t>Uang makan</t>
  </si>
  <si>
    <t>7500 dikali jumlah hari kerja</t>
  </si>
  <si>
    <t>transport</t>
  </si>
  <si>
    <t>15000 dikali jumlah hari kerja</t>
  </si>
  <si>
    <t>uang lembur</t>
  </si>
  <si>
    <t>85000 dikali jumlah lembur</t>
  </si>
  <si>
    <t>Askes</t>
  </si>
  <si>
    <t>Pensiun</t>
  </si>
  <si>
    <t>Jumlah Potongan</t>
  </si>
  <si>
    <t>1/5 dari gaji pokok</t>
  </si>
  <si>
    <t>1/8 dari gaji pokok</t>
  </si>
  <si>
    <t>2,5 % dari gaji pokok</t>
  </si>
  <si>
    <t>Askes + pensiun -pajak</t>
  </si>
  <si>
    <t>gaji  bersih</t>
  </si>
  <si>
    <t>gaji kotor - jumlah potongan</t>
  </si>
  <si>
    <t>kode lahir</t>
  </si>
  <si>
    <t>gunakan rumus weekday/tanggal lahir</t>
  </si>
  <si>
    <t>hari lahir</t>
  </si>
  <si>
    <t>berdasarkan tabel bantu</t>
  </si>
  <si>
    <t>ciri watak</t>
  </si>
  <si>
    <t>umur</t>
  </si>
  <si>
    <t>tanggal hari ini - tanggal hari lahir</t>
  </si>
  <si>
    <t>jurusan diambil dari tabel 1</t>
  </si>
  <si>
    <t>pesawat di ambil dari tabel 2</t>
  </si>
  <si>
    <t>kelas = jika kode 01 maka VIP, kode 02 maka bisnis dan kode 03 maka Ekonomi</t>
  </si>
  <si>
    <t>tarif diambil dari tabel 1</t>
  </si>
  <si>
    <t>diskon diambil dari tabel 2</t>
  </si>
  <si>
    <t>bonus = jika VIP atau Bisnis mendapatkan kaos sedangkan Ekonomi mendapatkan topi</t>
  </si>
  <si>
    <t>Total biaya = harga tiket - diskon</t>
  </si>
  <si>
    <t>ketentuan</t>
  </si>
  <si>
    <t>nama barang, harga barang dicari dengan (Vlokkup &amp;MID)</t>
  </si>
  <si>
    <t>jenis,discount,dicari dengan (Hlookup &amp; Left)</t>
  </si>
  <si>
    <t>total harga dicari dengan (jumlah penjual dikali dengan harga barang)</t>
  </si>
  <si>
    <t>total pemasukan dicari dengan (total harga dikali dengan discount)</t>
  </si>
  <si>
    <t>Nama barang, harga satuan, dan keuntungan diisi berdasarkan Tabel 1</t>
  </si>
  <si>
    <t>jika discount 10% maka mendapat sovenir "Mug Cantik"</t>
  </si>
  <si>
    <t>dan yang lainnya mendapatkan souvenir " Jam Tangan"</t>
  </si>
  <si>
    <t>jika discount 5% maka mendapat souvenir "Poster Doraemon"</t>
  </si>
  <si>
    <t>Total Pembayaran = total harga dikurangi keuntungan</t>
  </si>
  <si>
    <t>Total keuntungan = keuntungan dikali jumlah penjualan</t>
  </si>
  <si>
    <t>Keuntungan discount dikali Total Harga</t>
  </si>
  <si>
    <t xml:space="preserve">Souvenir </t>
  </si>
  <si>
    <t>Total harga didapat dari harga satuan dikali jumlah pnejualan</t>
  </si>
  <si>
    <t>Jenis dan discount diisi berdasarkan tabel 2</t>
  </si>
  <si>
    <t xml:space="preserve">LAPORAN REKAM MEDIS PASIEN RAWAT JALAN </t>
  </si>
  <si>
    <t>RUMAH SAKIT MITRA SAHABAT</t>
  </si>
  <si>
    <t>No RM</t>
  </si>
  <si>
    <t>Nama Pasien</t>
  </si>
  <si>
    <t>Type Kamar</t>
  </si>
  <si>
    <t>Tarif (Malam)</t>
  </si>
  <si>
    <t>Nama Dokter</t>
  </si>
  <si>
    <t>Tarif Dokter</t>
  </si>
  <si>
    <t>Tanggal</t>
  </si>
  <si>
    <t>Lama Inap</t>
  </si>
  <si>
    <t>Subtotal</t>
  </si>
  <si>
    <t>ML102</t>
  </si>
  <si>
    <t>FL301</t>
  </si>
  <si>
    <t>CM203</t>
  </si>
  <si>
    <t>FL203</t>
  </si>
  <si>
    <t>ML302</t>
  </si>
  <si>
    <t>CM101</t>
  </si>
  <si>
    <t>CM302</t>
  </si>
  <si>
    <t>FL102</t>
  </si>
  <si>
    <t>ML103</t>
  </si>
  <si>
    <t>Resume</t>
  </si>
  <si>
    <t>JUM KAMAR</t>
  </si>
  <si>
    <t>Melati</t>
  </si>
  <si>
    <t>NM.RM</t>
  </si>
  <si>
    <t>Cempaka</t>
  </si>
  <si>
    <t>FL</t>
  </si>
  <si>
    <t>RITA</t>
  </si>
  <si>
    <t>RINA</t>
  </si>
  <si>
    <t>SHINTA</t>
  </si>
  <si>
    <t>Flamboyan</t>
  </si>
  <si>
    <t>ML</t>
  </si>
  <si>
    <t>BUDI</t>
  </si>
  <si>
    <t>LITA</t>
  </si>
  <si>
    <t>RAWA</t>
  </si>
  <si>
    <t>CM</t>
  </si>
  <si>
    <t>UJANG</t>
  </si>
  <si>
    <t>DONI</t>
  </si>
  <si>
    <t>DIRGA</t>
  </si>
  <si>
    <t>NAMA DOKTER</t>
  </si>
  <si>
    <t>DR DJATMOCO</t>
  </si>
  <si>
    <t>DR AGUNG</t>
  </si>
  <si>
    <t>DR BENNI</t>
  </si>
  <si>
    <t>Budi</t>
  </si>
  <si>
    <t>Rp70.000,00</t>
  </si>
  <si>
    <t>Dr.Agung</t>
  </si>
  <si>
    <t>Rp 150.000,00</t>
  </si>
  <si>
    <t>Dokter</t>
  </si>
  <si>
    <t>Banyaknya jam kerja</t>
  </si>
  <si>
    <t>Siswa harus dapat menganalisa bentuk rumus yang akan dimasukkan dalam cel-cel yang kosong</t>
  </si>
  <si>
    <t>Jl. Tumpah Ruah Blok DF/458 Kebon Kosong</t>
  </si>
  <si>
    <t>Telp. 021 - 47588322</t>
  </si>
  <si>
    <t>GOLONGAN</t>
  </si>
  <si>
    <t>A1</t>
  </si>
  <si>
    <t>B1</t>
  </si>
  <si>
    <t>B2</t>
  </si>
  <si>
    <t>C1</t>
  </si>
  <si>
    <t>C2</t>
  </si>
  <si>
    <t>D1</t>
  </si>
  <si>
    <t>D2</t>
  </si>
  <si>
    <t>KD. JAB</t>
  </si>
  <si>
    <t>TUNJ. JAB</t>
  </si>
  <si>
    <t>UANG TRANS</t>
  </si>
  <si>
    <t>TUNJ. KHUSUS</t>
  </si>
  <si>
    <t>KA BAGIAN</t>
  </si>
  <si>
    <t>KA BRIO</t>
  </si>
  <si>
    <t>KLEREK</t>
  </si>
  <si>
    <t>OPAS</t>
  </si>
  <si>
    <t>NAMA KARYAWAN</t>
  </si>
  <si>
    <t>KODE JABATAN</t>
  </si>
  <si>
    <t>TGL MASUK</t>
  </si>
  <si>
    <t>TUNJ JABATAN</t>
  </si>
  <si>
    <t>TUNJ KHUSUS</t>
  </si>
  <si>
    <t>ADI</t>
  </si>
  <si>
    <t>SUSILO</t>
  </si>
  <si>
    <t>BAMBANG</t>
  </si>
  <si>
    <t>YUDHOYONO</t>
  </si>
  <si>
    <t>AMIN</t>
  </si>
  <si>
    <t>RAIS</t>
  </si>
  <si>
    <t>ABDUL</t>
  </si>
  <si>
    <t>RAHMAN</t>
  </si>
  <si>
    <t>WAHID</t>
  </si>
  <si>
    <t>HANOMAN</t>
  </si>
  <si>
    <t>POLTAK</t>
  </si>
  <si>
    <t>SAMIAJI</t>
  </si>
  <si>
    <t>KARTOLO</t>
  </si>
  <si>
    <t>Membuat Grafik</t>
  </si>
  <si>
    <t>Jumlah dan Persentase Penduduk Miskin di Indonesia</t>
  </si>
  <si>
    <t>Menurut Daerah, 1998-2005</t>
  </si>
  <si>
    <t>Tahun</t>
  </si>
  <si>
    <t>Jumlah Penduduk Miskin (Juta)</t>
  </si>
  <si>
    <t>Sumber: Diolah dari data Survei Sosial Ekonomi Nasional (Susenas)</t>
  </si>
  <si>
    <t>Gunakan Perintah</t>
  </si>
  <si>
    <t>Copy, paste spesial, transform</t>
  </si>
  <si>
    <t xml:space="preserve"> </t>
  </si>
  <si>
    <t>POTONGAN DISKON</t>
  </si>
  <si>
    <t>TOTALHARGA</t>
  </si>
  <si>
    <t>Sum of Gaji Pokok</t>
  </si>
  <si>
    <t>Grand Total</t>
  </si>
  <si>
    <t>Sum of Total Gaji</t>
  </si>
  <si>
    <t>BKU-AG-01</t>
  </si>
  <si>
    <t>AG</t>
  </si>
  <si>
    <t>KTR-QT-02</t>
  </si>
  <si>
    <t>BKU-BI-03</t>
  </si>
  <si>
    <t>ATS-BO-04</t>
  </si>
  <si>
    <t>BKU-EK-05</t>
  </si>
  <si>
    <t>ATS-PL-06</t>
  </si>
  <si>
    <t>KTR-FL-07</t>
  </si>
  <si>
    <t>BKU-KO-08</t>
  </si>
  <si>
    <t>BKU-BH-09</t>
  </si>
  <si>
    <t>ATS-BO-10</t>
  </si>
  <si>
    <t>ATS-PL-11</t>
  </si>
  <si>
    <t>BKU-TL-12</t>
  </si>
  <si>
    <t>BKU-TL-13</t>
  </si>
  <si>
    <t>BKU-EK-14</t>
  </si>
  <si>
    <t>ATS-PL-15</t>
  </si>
  <si>
    <t>KO</t>
  </si>
  <si>
    <t>BI</t>
  </si>
  <si>
    <t>BH</t>
  </si>
  <si>
    <t>EK</t>
  </si>
  <si>
    <t>AK</t>
  </si>
  <si>
    <t>BO</t>
  </si>
  <si>
    <t>PL</t>
  </si>
  <si>
    <t>QT</t>
  </si>
  <si>
    <t>TL</t>
  </si>
</sst>
</file>

<file path=xl/styles.xml><?xml version="1.0" encoding="utf-8"?>
<styleSheet xmlns="http://schemas.openxmlformats.org/spreadsheetml/2006/main">
  <numFmts count="16">
    <numFmt numFmtId="8" formatCode="&quot;Rp&quot;#,##0.00_);[Red]\(&quot;Rp&quot;#,##0.00\)"/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[$-409]d\-mmm\-yy;@"/>
    <numFmt numFmtId="165" formatCode="[$-409]h:mm\ AM/PM;@"/>
    <numFmt numFmtId="166" formatCode="dd/mm/yyyy;@"/>
    <numFmt numFmtId="167" formatCode="#\ &quot;HARI&quot;"/>
    <numFmt numFmtId="168" formatCode="dd/mm/yyyy\ "/>
    <numFmt numFmtId="169" formatCode="_(&quot;Rp. &quot;* #,##0.00_);_(&quot;Rp. &quot;* \(#,##0.00\);_(&quot;Rp. &quot;* &quot;-&quot;??_);_(@_)"/>
    <numFmt numFmtId="170" formatCode="_([$Rp-421]* #,##0.00_);_([$Rp-421]* \(#,##0.00\);_([$Rp-421]* &quot;-&quot;??_);_(@_)"/>
    <numFmt numFmtId="171" formatCode="0\ &quot;Hari&quot;"/>
    <numFmt numFmtId="172" formatCode="&quot;Rp&quot;#,##0"/>
    <numFmt numFmtId="173" formatCode="0\ &quot;hari&quot;"/>
    <numFmt numFmtId="174" formatCode="0\ &quot;Tahun&quot;"/>
    <numFmt numFmtId="175" formatCode="0\ &quot;Bulan&quot;"/>
  </numFmts>
  <fonts count="77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Algerian"/>
      <family val="5"/>
    </font>
    <font>
      <i/>
      <sz val="1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4"/>
      <name val="Brush Script MT"/>
      <family val="4"/>
    </font>
    <font>
      <sz val="16"/>
      <name val="BernhardFashion BT"/>
      <family val="5"/>
    </font>
    <font>
      <sz val="14"/>
      <name val="Bernard MT Condensed"/>
      <family val="1"/>
    </font>
    <font>
      <sz val="12"/>
      <name val="Arial Black"/>
      <family val="2"/>
    </font>
    <font>
      <sz val="20"/>
      <name val="Agency FB"/>
      <family val="2"/>
    </font>
    <font>
      <i/>
      <u/>
      <sz val="10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12"/>
      <name val="Baskerville Old Face"/>
      <family val="1"/>
    </font>
    <font>
      <sz val="14"/>
      <name val="BankGothic Md BT"/>
      <family val="2"/>
    </font>
    <font>
      <u/>
      <sz val="12"/>
      <name val="Arial"/>
      <family val="2"/>
    </font>
    <font>
      <u/>
      <sz val="10"/>
      <name val="Arial"/>
      <family val="2"/>
    </font>
    <font>
      <sz val="14"/>
      <name val="Algerian"/>
      <family val="5"/>
    </font>
    <font>
      <sz val="16"/>
      <name val="Algerian"/>
      <family val="5"/>
    </font>
    <font>
      <b/>
      <sz val="12"/>
      <name val="Algerian"/>
      <family val="5"/>
    </font>
    <font>
      <b/>
      <sz val="12"/>
      <name val="Bernard MT Condensed"/>
      <family val="1"/>
    </font>
    <font>
      <b/>
      <sz val="12"/>
      <name val="Broadway"/>
      <family val="5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  <charset val="1"/>
    </font>
    <font>
      <b/>
      <sz val="16"/>
      <color indexed="8"/>
      <name val="Calibri"/>
      <family val="2"/>
      <charset val="1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  <charset val="1"/>
    </font>
    <font>
      <sz val="10"/>
      <color indexed="8"/>
      <name val="Comic Sans MS"/>
      <family val="4"/>
    </font>
    <font>
      <sz val="10"/>
      <color indexed="10"/>
      <name val="Comic Sans MS"/>
      <family val="4"/>
    </font>
    <font>
      <sz val="10"/>
      <color indexed="10"/>
      <name val="Calibri"/>
      <family val="2"/>
      <charset val="1"/>
    </font>
    <font>
      <b/>
      <sz val="10"/>
      <color indexed="8"/>
      <name val="Comic Sans MS"/>
      <family val="4"/>
    </font>
    <font>
      <sz val="11"/>
      <name val="Times"/>
      <family val="1"/>
    </font>
    <font>
      <sz val="10"/>
      <name val="Times"/>
      <family val="1"/>
    </font>
    <font>
      <b/>
      <sz val="10"/>
      <color indexed="9"/>
      <name val="Times"/>
      <family val="1"/>
    </font>
    <font>
      <i/>
      <sz val="8"/>
      <name val="Times"/>
      <family val="1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rgb="FFFFFF00"/>
      <name val="Arial"/>
      <family val="2"/>
    </font>
    <font>
      <b/>
      <sz val="10"/>
      <color theme="0"/>
      <name val="Arial"/>
      <family val="2"/>
    </font>
    <font>
      <b/>
      <sz val="11"/>
      <color theme="7" tint="-0.249977111117893"/>
      <name val="Calibri"/>
      <family val="2"/>
    </font>
    <font>
      <b/>
      <sz val="11"/>
      <color theme="0"/>
      <name val="Calibri"/>
      <family val="2"/>
    </font>
    <font>
      <sz val="11"/>
      <color rgb="FFFFFF00"/>
      <name val="Calibri"/>
      <family val="2"/>
    </font>
    <font>
      <sz val="24"/>
      <color rgb="FFC00000"/>
      <name val="Arial"/>
      <family val="2"/>
    </font>
    <font>
      <b/>
      <sz val="10"/>
      <color rgb="FFFF0000"/>
      <name val="Calibri"/>
      <family val="2"/>
      <charset val="1"/>
    </font>
    <font>
      <b/>
      <sz val="10"/>
      <color rgb="FFFFFF00"/>
      <name val="Comic Sans MS"/>
      <family val="4"/>
    </font>
    <font>
      <b/>
      <sz val="10"/>
      <color rgb="FFFFFF00"/>
      <name val="Calibri"/>
      <family val="2"/>
      <charset val="1"/>
    </font>
    <font>
      <sz val="14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b/>
      <sz val="24"/>
      <color theme="1"/>
      <name val="Calibri"/>
      <family val="2"/>
      <scheme val="minor"/>
    </font>
    <font>
      <b/>
      <sz val="20"/>
      <color rgb="FF0070C0"/>
      <name val="Calibri"/>
      <family val="2"/>
    </font>
    <font>
      <sz val="14"/>
      <color rgb="FF0070C0"/>
      <name val="Calibri"/>
      <family val="2"/>
    </font>
    <font>
      <b/>
      <sz val="14"/>
      <color theme="5" tint="-0.249977111117893"/>
      <name val="Calibri"/>
      <family val="2"/>
    </font>
    <font>
      <b/>
      <sz val="16"/>
      <color theme="5" tint="-0.249977111117893"/>
      <name val="Calibri"/>
      <family val="2"/>
    </font>
    <font>
      <b/>
      <sz val="10"/>
      <color theme="3" tint="0.39997558519241921"/>
      <name val="Arial Narrow"/>
      <family val="2"/>
    </font>
    <font>
      <b/>
      <sz val="10"/>
      <color rgb="FFFF0000"/>
      <name val="Comic Sans MS"/>
      <family val="4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double">
        <color indexed="64"/>
      </bottom>
      <diagonal/>
    </border>
    <border>
      <left/>
      <right style="medium">
        <color indexed="56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56"/>
      </right>
      <top style="double">
        <color indexed="64"/>
      </top>
      <bottom style="dashed">
        <color indexed="56"/>
      </bottom>
      <diagonal/>
    </border>
    <border>
      <left/>
      <right style="medium">
        <color indexed="64"/>
      </right>
      <top style="double">
        <color indexed="64"/>
      </top>
      <bottom style="dashed">
        <color indexed="56"/>
      </bottom>
      <diagonal/>
    </border>
    <border>
      <left style="medium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/>
      <right style="medium">
        <color indexed="56"/>
      </right>
      <top style="dashed">
        <color indexed="56"/>
      </top>
      <bottom style="dashed">
        <color indexed="56"/>
      </bottom>
      <diagonal/>
    </border>
    <border>
      <left/>
      <right style="medium">
        <color indexed="64"/>
      </right>
      <top style="dashed">
        <color indexed="56"/>
      </top>
      <bottom style="dashed">
        <color indexed="56"/>
      </bottom>
      <diagonal/>
    </border>
    <border>
      <left/>
      <right style="medium">
        <color indexed="56"/>
      </right>
      <top/>
      <bottom style="medium">
        <color indexed="64"/>
      </bottom>
      <diagonal/>
    </border>
    <border>
      <left style="medium">
        <color indexed="56"/>
      </left>
      <right/>
      <top style="medium">
        <color indexed="56"/>
      </top>
      <bottom style="double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double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/>
      <right style="medium">
        <color indexed="56"/>
      </right>
      <top style="medium">
        <color indexed="56"/>
      </top>
      <bottom style="medium">
        <color indexed="56"/>
      </bottom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 style="double">
        <color indexed="56"/>
      </top>
      <bottom style="medium">
        <color indexed="56"/>
      </bottom>
      <diagonal/>
    </border>
    <border>
      <left style="medium">
        <color indexed="56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double">
        <color indexed="64"/>
      </top>
      <bottom/>
      <diagonal/>
    </border>
    <border>
      <left/>
      <right/>
      <top style="dotted">
        <color indexed="56"/>
      </top>
      <bottom style="dotted">
        <color indexed="56"/>
      </bottom>
      <diagonal/>
    </border>
    <border>
      <left style="medium">
        <color indexed="64"/>
      </left>
      <right style="medium">
        <color indexed="56"/>
      </right>
      <top/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64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64"/>
      </left>
      <right style="medium">
        <color indexed="56"/>
      </right>
      <top/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double">
        <color indexed="56"/>
      </top>
      <bottom style="medium">
        <color indexed="56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0" xfId="0" applyFont="1" applyFill="1" applyBorder="1"/>
    <xf numFmtId="0" fontId="0" fillId="0" borderId="0" xfId="0" applyAlignment="1"/>
    <xf numFmtId="0" fontId="6" fillId="0" borderId="0" xfId="0" applyFont="1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42" fontId="0" fillId="0" borderId="0" xfId="0" applyNumberFormat="1"/>
    <xf numFmtId="0" fontId="11" fillId="0" borderId="0" xfId="0" applyFont="1"/>
    <xf numFmtId="0" fontId="11" fillId="0" borderId="1" xfId="0" applyFont="1" applyBorder="1"/>
    <xf numFmtId="42" fontId="11" fillId="0" borderId="1" xfId="0" applyNumberFormat="1" applyFont="1" applyBorder="1"/>
    <xf numFmtId="0" fontId="11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5" xfId="0" applyFont="1" applyBorder="1"/>
    <xf numFmtId="0" fontId="7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19" fillId="0" borderId="0" xfId="0" applyFont="1"/>
    <xf numFmtId="0" fontId="20" fillId="0" borderId="0" xfId="0" applyFont="1"/>
    <xf numFmtId="0" fontId="11" fillId="0" borderId="0" xfId="0" applyFont="1" applyAlignment="1">
      <alignment horizontal="right"/>
    </xf>
    <xf numFmtId="0" fontId="23" fillId="0" borderId="0" xfId="0" applyFont="1"/>
    <xf numFmtId="0" fontId="24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5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5" fontId="0" fillId="0" borderId="15" xfId="0" applyNumberFormat="1" applyBorder="1" applyAlignment="1">
      <alignment horizontal="center" vertical="center" wrapText="1"/>
    </xf>
    <xf numFmtId="42" fontId="0" fillId="0" borderId="15" xfId="0" applyNumberFormat="1" applyBorder="1" applyAlignment="1">
      <alignment horizontal="center" vertical="center" wrapText="1"/>
    </xf>
    <xf numFmtId="42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7" fillId="0" borderId="17" xfId="0" applyFont="1" applyBorder="1"/>
    <xf numFmtId="0" fontId="0" fillId="0" borderId="17" xfId="0" applyBorder="1" applyAlignment="1">
      <alignment horizontal="center"/>
    </xf>
    <xf numFmtId="0" fontId="7" fillId="0" borderId="9" xfId="0" applyFont="1" applyBorder="1"/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18" fillId="0" borderId="0" xfId="0" applyFont="1"/>
    <xf numFmtId="0" fontId="2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5" fontId="8" fillId="0" borderId="0" xfId="0" applyNumberFormat="1" applyFont="1"/>
    <xf numFmtId="0" fontId="8" fillId="0" borderId="1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10" fillId="0" borderId="17" xfId="0" applyFont="1" applyBorder="1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21" xfId="0" applyBorder="1"/>
    <xf numFmtId="0" fontId="0" fillId="0" borderId="22" xfId="0" applyBorder="1"/>
    <xf numFmtId="0" fontId="27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2" fillId="0" borderId="0" xfId="0" applyFont="1" applyFill="1" applyBorder="1" applyAlignment="1">
      <alignment horizontal="center"/>
    </xf>
    <xf numFmtId="0" fontId="35" fillId="0" borderId="0" xfId="0" applyFont="1"/>
    <xf numFmtId="0" fontId="36" fillId="0" borderId="0" xfId="0" applyFont="1"/>
    <xf numFmtId="0" fontId="0" fillId="0" borderId="0" xfId="0" applyAlignment="1">
      <alignment horizontal="center" vertical="center"/>
    </xf>
    <xf numFmtId="0" fontId="37" fillId="0" borderId="0" xfId="0" applyFont="1" applyAlignment="1">
      <alignment vertical="top"/>
    </xf>
    <xf numFmtId="0" fontId="41" fillId="0" borderId="0" xfId="0" applyFont="1"/>
    <xf numFmtId="0" fontId="37" fillId="0" borderId="0" xfId="0" applyFont="1" applyAlignment="1"/>
    <xf numFmtId="9" fontId="0" fillId="0" borderId="5" xfId="0" applyNumberFormat="1" applyBorder="1" applyAlignment="1">
      <alignment horizontal="center" vertical="distributed"/>
    </xf>
    <xf numFmtId="0" fontId="0" fillId="0" borderId="0" xfId="0" applyAlignment="1">
      <alignment horizontal="left" vertical="center"/>
    </xf>
    <xf numFmtId="0" fontId="33" fillId="0" borderId="0" xfId="0" applyFont="1" applyAlignment="1">
      <alignment horizontal="right" vertical="center"/>
    </xf>
    <xf numFmtId="0" fontId="33" fillId="0" borderId="0" xfId="0" applyFont="1" applyAlignment="1">
      <alignment horizontal="left" vertical="center"/>
    </xf>
    <xf numFmtId="0" fontId="2" fillId="6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4" fillId="7" borderId="26" xfId="0" applyFont="1" applyFill="1" applyBorder="1" applyAlignment="1">
      <alignment horizontal="center" vertical="center" wrapText="1"/>
    </xf>
    <xf numFmtId="0" fontId="4" fillId="7" borderId="27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 wrapText="1"/>
    </xf>
    <xf numFmtId="0" fontId="4" fillId="8" borderId="30" xfId="0" applyFont="1" applyFill="1" applyBorder="1"/>
    <xf numFmtId="42" fontId="4" fillId="8" borderId="30" xfId="0" applyNumberFormat="1" applyFont="1" applyFill="1" applyBorder="1"/>
    <xf numFmtId="0" fontId="4" fillId="8" borderId="30" xfId="0" applyFont="1" applyFill="1" applyBorder="1" applyAlignment="1">
      <alignment horizontal="center" vertical="center" wrapText="1"/>
    </xf>
    <xf numFmtId="42" fontId="4" fillId="8" borderId="31" xfId="0" applyNumberFormat="1" applyFont="1" applyFill="1" applyBorder="1"/>
    <xf numFmtId="0" fontId="4" fillId="8" borderId="29" xfId="0" applyFont="1" applyFill="1" applyBorder="1" applyAlignment="1">
      <alignment horizontal="center"/>
    </xf>
    <xf numFmtId="0" fontId="4" fillId="8" borderId="11" xfId="0" applyFont="1" applyFill="1" applyBorder="1"/>
    <xf numFmtId="0" fontId="4" fillId="8" borderId="32" xfId="0" applyFont="1" applyFill="1" applyBorder="1"/>
    <xf numFmtId="0" fontId="4" fillId="8" borderId="0" xfId="0" applyFont="1" applyFill="1" applyBorder="1"/>
    <xf numFmtId="0" fontId="4" fillId="8" borderId="3" xfId="0" applyFont="1" applyFill="1" applyBorder="1"/>
    <xf numFmtId="0" fontId="4" fillId="8" borderId="33" xfId="0" applyFont="1" applyFill="1" applyBorder="1"/>
    <xf numFmtId="0" fontId="4" fillId="8" borderId="34" xfId="0" applyFont="1" applyFill="1" applyBorder="1"/>
    <xf numFmtId="42" fontId="4" fillId="8" borderId="35" xfId="0" applyNumberFormat="1" applyFont="1" applyFill="1" applyBorder="1"/>
    <xf numFmtId="0" fontId="2" fillId="9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left" vertical="center"/>
    </xf>
    <xf numFmtId="42" fontId="0" fillId="10" borderId="30" xfId="0" applyNumberFormat="1" applyFill="1" applyBorder="1" applyAlignment="1">
      <alignment horizontal="center"/>
    </xf>
    <xf numFmtId="0" fontId="2" fillId="9" borderId="36" xfId="0" applyFont="1" applyFill="1" applyBorder="1" applyAlignment="1">
      <alignment horizontal="center" textRotation="90"/>
    </xf>
    <xf numFmtId="0" fontId="2" fillId="9" borderId="36" xfId="0" applyFont="1" applyFill="1" applyBorder="1" applyAlignment="1">
      <alignment horizontal="left" vertical="center"/>
    </xf>
    <xf numFmtId="0" fontId="0" fillId="9" borderId="30" xfId="0" applyFill="1" applyBorder="1"/>
    <xf numFmtId="0" fontId="2" fillId="9" borderId="37" xfId="0" applyFont="1" applyFill="1" applyBorder="1" applyAlignment="1">
      <alignment horizontal="left" vertical="center"/>
    </xf>
    <xf numFmtId="0" fontId="0" fillId="9" borderId="38" xfId="0" applyFill="1" applyBorder="1"/>
    <xf numFmtId="0" fontId="2" fillId="11" borderId="39" xfId="0" applyFont="1" applyFill="1" applyBorder="1" applyAlignment="1">
      <alignment horizontal="center" vertical="center" wrapText="1"/>
    </xf>
    <xf numFmtId="0" fontId="7" fillId="12" borderId="17" xfId="0" applyFont="1" applyFill="1" applyBorder="1"/>
    <xf numFmtId="42" fontId="0" fillId="12" borderId="17" xfId="0" applyNumberFormat="1" applyFill="1" applyBorder="1" applyAlignment="1">
      <alignment horizontal="center"/>
    </xf>
    <xf numFmtId="0" fontId="7" fillId="12" borderId="5" xfId="0" applyFont="1" applyFill="1" applyBorder="1"/>
    <xf numFmtId="42" fontId="0" fillId="12" borderId="5" xfId="0" applyNumberFormat="1" applyFill="1" applyBorder="1" applyAlignment="1">
      <alignment horizontal="center"/>
    </xf>
    <xf numFmtId="0" fontId="7" fillId="12" borderId="39" xfId="0" applyFont="1" applyFill="1" applyBorder="1"/>
    <xf numFmtId="42" fontId="0" fillId="12" borderId="39" xfId="0" applyNumberFormat="1" applyFill="1" applyBorder="1" applyAlignment="1">
      <alignment horizontal="center"/>
    </xf>
    <xf numFmtId="0" fontId="2" fillId="12" borderId="22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2" fillId="12" borderId="40" xfId="0" applyFont="1" applyFill="1" applyBorder="1"/>
    <xf numFmtId="0" fontId="0" fillId="12" borderId="10" xfId="0" applyFill="1" applyBorder="1"/>
    <xf numFmtId="0" fontId="0" fillId="12" borderId="29" xfId="0" applyFill="1" applyBorder="1"/>
    <xf numFmtId="0" fontId="0" fillId="0" borderId="5" xfId="0" applyFill="1" applyBorder="1" applyAlignment="1">
      <alignment horizontal="left"/>
    </xf>
    <xf numFmtId="0" fontId="0" fillId="0" borderId="39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42" fontId="0" fillId="0" borderId="5" xfId="0" applyNumberFormat="1" applyBorder="1"/>
    <xf numFmtId="0" fontId="53" fillId="14" borderId="5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11" fillId="15" borderId="4" xfId="0" applyFont="1" applyFill="1" applyBorder="1"/>
    <xf numFmtId="0" fontId="11" fillId="15" borderId="41" xfId="0" applyFont="1" applyFill="1" applyBorder="1" applyAlignment="1">
      <alignment horizontal="center"/>
    </xf>
    <xf numFmtId="0" fontId="11" fillId="15" borderId="17" xfId="0" applyFont="1" applyFill="1" applyBorder="1" applyAlignment="1">
      <alignment horizontal="center"/>
    </xf>
    <xf numFmtId="0" fontId="11" fillId="15" borderId="42" xfId="0" applyFont="1" applyFill="1" applyBorder="1" applyAlignment="1">
      <alignment horizontal="center"/>
    </xf>
    <xf numFmtId="0" fontId="11" fillId="16" borderId="5" xfId="0" applyFont="1" applyFill="1" applyBorder="1"/>
    <xf numFmtId="0" fontId="11" fillId="16" borderId="5" xfId="0" applyFont="1" applyFill="1" applyBorder="1" applyAlignment="1">
      <alignment horizontal="center"/>
    </xf>
    <xf numFmtId="0" fontId="11" fillId="16" borderId="9" xfId="0" applyFont="1" applyFill="1" applyBorder="1" applyAlignment="1">
      <alignment horizontal="center"/>
    </xf>
    <xf numFmtId="0" fontId="11" fillId="15" borderId="5" xfId="0" applyFont="1" applyFill="1" applyBorder="1"/>
    <xf numFmtId="0" fontId="11" fillId="15" borderId="7" xfId="0" applyFont="1" applyFill="1" applyBorder="1"/>
    <xf numFmtId="0" fontId="11" fillId="15" borderId="8" xfId="0" applyFont="1" applyFill="1" applyBorder="1"/>
    <xf numFmtId="0" fontId="11" fillId="11" borderId="43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42" fontId="54" fillId="0" borderId="0" xfId="0" applyNumberFormat="1" applyFont="1"/>
    <xf numFmtId="42" fontId="55" fillId="0" borderId="0" xfId="0" applyNumberFormat="1" applyFont="1"/>
    <xf numFmtId="0" fontId="0" fillId="17" borderId="24" xfId="0" applyFill="1" applyBorder="1" applyAlignment="1">
      <alignment horizontal="center" vertical="center" wrapText="1"/>
    </xf>
    <xf numFmtId="0" fontId="0" fillId="17" borderId="25" xfId="0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 wrapText="1"/>
    </xf>
    <xf numFmtId="0" fontId="0" fillId="13" borderId="25" xfId="0" applyFill="1" applyBorder="1" applyAlignment="1">
      <alignment horizontal="center" vertical="center" wrapText="1"/>
    </xf>
    <xf numFmtId="0" fontId="0" fillId="13" borderId="44" xfId="0" applyFill="1" applyBorder="1"/>
    <xf numFmtId="0" fontId="0" fillId="13" borderId="45" xfId="0" applyFill="1" applyBorder="1" applyAlignment="1"/>
    <xf numFmtId="0" fontId="0" fillId="13" borderId="46" xfId="0" applyFill="1" applyBorder="1" applyAlignment="1"/>
    <xf numFmtId="0" fontId="0" fillId="13" borderId="47" xfId="0" applyFill="1" applyBorder="1"/>
    <xf numFmtId="0" fontId="0" fillId="8" borderId="4" xfId="0" applyFill="1" applyBorder="1"/>
    <xf numFmtId="0" fontId="0" fillId="8" borderId="50" xfId="0" applyFill="1" applyBorder="1"/>
    <xf numFmtId="0" fontId="0" fillId="8" borderId="5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11" fillId="15" borderId="30" xfId="0" applyFont="1" applyFill="1" applyBorder="1"/>
    <xf numFmtId="0" fontId="11" fillId="12" borderId="30" xfId="0" applyFont="1" applyFill="1" applyBorder="1"/>
    <xf numFmtId="42" fontId="11" fillId="12" borderId="51" xfId="0" applyNumberFormat="1" applyFont="1" applyFill="1" applyBorder="1" applyAlignment="1">
      <alignment horizontal="center"/>
    </xf>
    <xf numFmtId="0" fontId="11" fillId="16" borderId="30" xfId="0" applyFont="1" applyFill="1" applyBorder="1" applyAlignment="1">
      <alignment horizontal="center" vertical="center" wrapText="1"/>
    </xf>
    <xf numFmtId="0" fontId="11" fillId="16" borderId="30" xfId="0" applyFont="1" applyFill="1" applyBorder="1" applyAlignment="1">
      <alignment horizontal="center"/>
    </xf>
    <xf numFmtId="42" fontId="11" fillId="16" borderId="30" xfId="0" applyNumberFormat="1" applyFont="1" applyFill="1" applyBorder="1" applyAlignment="1">
      <alignment horizontal="center"/>
    </xf>
    <xf numFmtId="42" fontId="11" fillId="16" borderId="51" xfId="0" applyNumberFormat="1" applyFont="1" applyFill="1" applyBorder="1" applyAlignment="1">
      <alignment horizontal="center"/>
    </xf>
    <xf numFmtId="0" fontId="11" fillId="16" borderId="30" xfId="0" applyFont="1" applyFill="1" applyBorder="1" applyAlignment="1">
      <alignment horizontal="center" vertical="center"/>
    </xf>
    <xf numFmtId="0" fontId="11" fillId="15" borderId="52" xfId="0" applyFont="1" applyFill="1" applyBorder="1"/>
    <xf numFmtId="0" fontId="11" fillId="15" borderId="11" xfId="0" applyFont="1" applyFill="1" applyBorder="1"/>
    <xf numFmtId="0" fontId="11" fillId="15" borderId="32" xfId="0" applyFont="1" applyFill="1" applyBorder="1"/>
    <xf numFmtId="0" fontId="11" fillId="15" borderId="22" xfId="0" applyFont="1" applyFill="1" applyBorder="1"/>
    <xf numFmtId="0" fontId="11" fillId="15" borderId="1" xfId="0" applyFont="1" applyFill="1" applyBorder="1"/>
    <xf numFmtId="0" fontId="11" fillId="15" borderId="2" xfId="0" applyFont="1" applyFill="1" applyBorder="1"/>
    <xf numFmtId="0" fontId="11" fillId="15" borderId="53" xfId="0" applyFont="1" applyFill="1" applyBorder="1"/>
    <xf numFmtId="0" fontId="11" fillId="21" borderId="54" xfId="0" applyFont="1" applyFill="1" applyBorder="1" applyAlignment="1">
      <alignment horizontal="center" vertical="center" wrapText="1"/>
    </xf>
    <xf numFmtId="0" fontId="11" fillId="21" borderId="17" xfId="0" applyFont="1" applyFill="1" applyBorder="1" applyAlignment="1">
      <alignment vertical="center"/>
    </xf>
    <xf numFmtId="0" fontId="11" fillId="21" borderId="17" xfId="0" applyFont="1" applyFill="1" applyBorder="1" applyAlignment="1">
      <alignment horizontal="center" vertical="center" wrapText="1"/>
    </xf>
    <xf numFmtId="0" fontId="11" fillId="21" borderId="17" xfId="0" applyFont="1" applyFill="1" applyBorder="1" applyAlignment="1">
      <alignment horizontal="center" vertical="center"/>
    </xf>
    <xf numFmtId="0" fontId="11" fillId="22" borderId="4" xfId="0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center" vertical="center" wrapText="1"/>
    </xf>
    <xf numFmtId="0" fontId="11" fillId="10" borderId="5" xfId="0" applyFont="1" applyFill="1" applyBorder="1"/>
    <xf numFmtId="0" fontId="11" fillId="10" borderId="5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8" xfId="0" applyFont="1" applyFill="1" applyBorder="1"/>
    <xf numFmtId="0" fontId="11" fillId="10" borderId="8" xfId="0" applyFont="1" applyFill="1" applyBorder="1" applyAlignment="1">
      <alignment horizontal="center" vertical="center" wrapText="1"/>
    </xf>
    <xf numFmtId="42" fontId="56" fillId="0" borderId="0" xfId="0" applyNumberFormat="1" applyFont="1"/>
    <xf numFmtId="42" fontId="57" fillId="0" borderId="0" xfId="0" applyNumberFormat="1" applyFont="1" applyAlignment="1">
      <alignment horizontal="left"/>
    </xf>
    <xf numFmtId="0" fontId="11" fillId="23" borderId="55" xfId="0" applyFont="1" applyFill="1" applyBorder="1" applyAlignment="1">
      <alignment horizontal="center" vertical="center" wrapText="1"/>
    </xf>
    <xf numFmtId="0" fontId="11" fillId="23" borderId="56" xfId="0" applyFont="1" applyFill="1" applyBorder="1" applyAlignment="1">
      <alignment horizontal="center" vertical="center" wrapText="1"/>
    </xf>
    <xf numFmtId="0" fontId="11" fillId="23" borderId="57" xfId="0" applyFont="1" applyFill="1" applyBorder="1" applyAlignment="1">
      <alignment horizontal="center" vertical="center" wrapText="1"/>
    </xf>
    <xf numFmtId="0" fontId="11" fillId="24" borderId="17" xfId="0" applyFont="1" applyFill="1" applyBorder="1" applyAlignment="1">
      <alignment horizontal="center"/>
    </xf>
    <xf numFmtId="0" fontId="11" fillId="24" borderId="5" xfId="0" applyFont="1" applyFill="1" applyBorder="1" applyAlignment="1">
      <alignment horizontal="center"/>
    </xf>
    <xf numFmtId="0" fontId="11" fillId="24" borderId="8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/>
    </xf>
    <xf numFmtId="0" fontId="11" fillId="25" borderId="5" xfId="0" applyFont="1" applyFill="1" applyBorder="1" applyAlignment="1">
      <alignment horizontal="center"/>
    </xf>
    <xf numFmtId="0" fontId="11" fillId="23" borderId="41" xfId="0" applyFont="1" applyFill="1" applyBorder="1" applyAlignment="1">
      <alignment horizontal="center"/>
    </xf>
    <xf numFmtId="0" fontId="11" fillId="23" borderId="4" xfId="0" applyFont="1" applyFill="1" applyBorder="1" applyAlignment="1">
      <alignment horizontal="center"/>
    </xf>
    <xf numFmtId="0" fontId="11" fillId="23" borderId="7" xfId="0" applyFont="1" applyFill="1" applyBorder="1" applyAlignment="1">
      <alignment horizontal="center"/>
    </xf>
    <xf numFmtId="0" fontId="10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2" fillId="3" borderId="58" xfId="0" applyFont="1" applyFill="1" applyBorder="1" applyAlignment="1">
      <alignment horizontal="center" vertical="center" wrapText="1"/>
    </xf>
    <xf numFmtId="0" fontId="2" fillId="3" borderId="59" xfId="0" applyFont="1" applyFill="1" applyBorder="1" applyAlignment="1">
      <alignment horizontal="center" vertical="center" wrapText="1"/>
    </xf>
    <xf numFmtId="0" fontId="2" fillId="3" borderId="60" xfId="0" applyFont="1" applyFill="1" applyBorder="1" applyAlignment="1">
      <alignment horizontal="center" vertical="center" wrapText="1"/>
    </xf>
    <xf numFmtId="42" fontId="0" fillId="0" borderId="61" xfId="0" applyNumberFormat="1" applyBorder="1" applyAlignment="1">
      <alignment horizontal="center" vertical="center" wrapText="1"/>
    </xf>
    <xf numFmtId="42" fontId="0" fillId="0" borderId="62" xfId="0" applyNumberFormat="1" applyBorder="1" applyAlignment="1">
      <alignment horizontal="center" vertical="center" wrapText="1"/>
    </xf>
    <xf numFmtId="42" fontId="0" fillId="0" borderId="24" xfId="0" applyNumberFormat="1" applyBorder="1" applyAlignment="1">
      <alignment horizontal="center" vertical="center" wrapText="1"/>
    </xf>
    <xf numFmtId="42" fontId="0" fillId="0" borderId="25" xfId="0" applyNumberFormat="1" applyBorder="1" applyAlignment="1">
      <alignment horizontal="center" vertical="center" wrapText="1"/>
    </xf>
    <xf numFmtId="0" fontId="3" fillId="26" borderId="63" xfId="0" applyFont="1" applyFill="1" applyBorder="1" applyAlignment="1">
      <alignment horizontal="center" vertical="center" wrapText="1"/>
    </xf>
    <xf numFmtId="0" fontId="3" fillId="26" borderId="64" xfId="0" applyFont="1" applyFill="1" applyBorder="1" applyAlignment="1">
      <alignment horizontal="center" vertical="center" wrapText="1"/>
    </xf>
    <xf numFmtId="0" fontId="3" fillId="26" borderId="65" xfId="0" applyFont="1" applyFill="1" applyBorder="1" applyAlignment="1">
      <alignment horizontal="center" vertical="center" wrapText="1"/>
    </xf>
    <xf numFmtId="0" fontId="3" fillId="26" borderId="66" xfId="0" applyFont="1" applyFill="1" applyBorder="1" applyAlignment="1">
      <alignment horizontal="center" vertical="center" wrapText="1"/>
    </xf>
    <xf numFmtId="0" fontId="3" fillId="26" borderId="67" xfId="0" applyFont="1" applyFill="1" applyBorder="1" applyAlignment="1">
      <alignment horizontal="center" vertical="center" wrapText="1"/>
    </xf>
    <xf numFmtId="0" fontId="3" fillId="26" borderId="68" xfId="0" applyFont="1" applyFill="1" applyBorder="1" applyAlignment="1">
      <alignment horizontal="center" vertical="center" wrapText="1"/>
    </xf>
    <xf numFmtId="0" fontId="53" fillId="27" borderId="69" xfId="0" applyFont="1" applyFill="1" applyBorder="1" applyAlignment="1">
      <alignment horizontal="center" vertical="center" wrapText="1"/>
    </xf>
    <xf numFmtId="0" fontId="53" fillId="27" borderId="70" xfId="0" applyFont="1" applyFill="1" applyBorder="1" applyAlignment="1">
      <alignment horizontal="center" vertical="center" wrapText="1"/>
    </xf>
    <xf numFmtId="0" fontId="53" fillId="27" borderId="71" xfId="0" applyFont="1" applyFill="1" applyBorder="1" applyAlignment="1">
      <alignment horizontal="center" vertical="center" wrapText="1"/>
    </xf>
    <xf numFmtId="0" fontId="0" fillId="27" borderId="72" xfId="0" applyFill="1" applyBorder="1"/>
    <xf numFmtId="0" fontId="0" fillId="27" borderId="73" xfId="0" applyFill="1" applyBorder="1"/>
    <xf numFmtId="0" fontId="0" fillId="27" borderId="74" xfId="0" applyFill="1" applyBorder="1"/>
    <xf numFmtId="0" fontId="0" fillId="27" borderId="75" xfId="0" applyFill="1" applyBorder="1"/>
    <xf numFmtId="0" fontId="0" fillId="27" borderId="76" xfId="0" applyFill="1" applyBorder="1"/>
    <xf numFmtId="0" fontId="0" fillId="27" borderId="77" xfId="0" applyFill="1" applyBorder="1"/>
    <xf numFmtId="0" fontId="53" fillId="27" borderId="78" xfId="0" applyFont="1" applyFill="1" applyBorder="1"/>
    <xf numFmtId="0" fontId="53" fillId="27" borderId="79" xfId="0" applyFont="1" applyFill="1" applyBorder="1"/>
    <xf numFmtId="0" fontId="53" fillId="27" borderId="80" xfId="0" applyFont="1" applyFill="1" applyBorder="1"/>
    <xf numFmtId="0" fontId="53" fillId="27" borderId="81" xfId="0" applyFont="1" applyFill="1" applyBorder="1"/>
    <xf numFmtId="0" fontId="53" fillId="27" borderId="82" xfId="0" applyFont="1" applyFill="1" applyBorder="1"/>
    <xf numFmtId="0" fontId="53" fillId="27" borderId="83" xfId="0" applyFont="1" applyFill="1" applyBorder="1"/>
    <xf numFmtId="0" fontId="0" fillId="8" borderId="84" xfId="0" applyFill="1" applyBorder="1" applyAlignment="1">
      <alignment horizontal="center"/>
    </xf>
    <xf numFmtId="0" fontId="0" fillId="8" borderId="80" xfId="0" applyFill="1" applyBorder="1" applyAlignment="1">
      <alignment horizontal="center"/>
    </xf>
    <xf numFmtId="0" fontId="0" fillId="8" borderId="85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53" fillId="28" borderId="24" xfId="0" applyFont="1" applyFill="1" applyBorder="1" applyAlignment="1">
      <alignment horizontal="center"/>
    </xf>
    <xf numFmtId="0" fontId="53" fillId="28" borderId="25" xfId="0" applyFont="1" applyFill="1" applyBorder="1" applyAlignment="1">
      <alignment horizontal="center"/>
    </xf>
    <xf numFmtId="0" fontId="53" fillId="28" borderId="5" xfId="0" applyFont="1" applyFill="1" applyBorder="1" applyAlignment="1">
      <alignment horizontal="center"/>
    </xf>
    <xf numFmtId="0" fontId="53" fillId="28" borderId="6" xfId="0" applyFont="1" applyFill="1" applyBorder="1" applyAlignment="1">
      <alignment horizontal="center"/>
    </xf>
    <xf numFmtId="0" fontId="0" fillId="29" borderId="41" xfId="0" applyFill="1" applyBorder="1" applyAlignment="1">
      <alignment horizontal="center" vertical="center" wrapText="1"/>
    </xf>
    <xf numFmtId="0" fontId="0" fillId="29" borderId="4" xfId="0" applyFill="1" applyBorder="1" applyAlignment="1">
      <alignment horizontal="center" vertical="center" wrapText="1"/>
    </xf>
    <xf numFmtId="15" fontId="0" fillId="29" borderId="4" xfId="0" applyNumberFormat="1" applyFill="1" applyBorder="1" applyAlignment="1">
      <alignment horizontal="center" vertical="center" wrapText="1"/>
    </xf>
    <xf numFmtId="0" fontId="0" fillId="29" borderId="17" xfId="0" applyFill="1" applyBorder="1" applyAlignment="1">
      <alignment horizontal="center" vertical="center" wrapText="1"/>
    </xf>
    <xf numFmtId="0" fontId="0" fillId="29" borderId="5" xfId="0" applyFill="1" applyBorder="1" applyAlignment="1">
      <alignment horizontal="center" vertical="center" wrapText="1"/>
    </xf>
    <xf numFmtId="0" fontId="0" fillId="16" borderId="17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53" fillId="28" borderId="88" xfId="0" applyFont="1" applyFill="1" applyBorder="1" applyAlignment="1">
      <alignment horizontal="center"/>
    </xf>
    <xf numFmtId="0" fontId="53" fillId="28" borderId="54" xfId="0" applyFont="1" applyFill="1" applyBorder="1" applyAlignment="1">
      <alignment horizontal="center"/>
    </xf>
    <xf numFmtId="0" fontId="53" fillId="28" borderId="41" xfId="0" applyFont="1" applyFill="1" applyBorder="1" applyAlignment="1">
      <alignment horizontal="center"/>
    </xf>
    <xf numFmtId="0" fontId="53" fillId="28" borderId="17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/>
    <xf numFmtId="3" fontId="0" fillId="16" borderId="5" xfId="0" applyNumberFormat="1" applyFill="1" applyBorder="1"/>
    <xf numFmtId="9" fontId="0" fillId="16" borderId="6" xfId="0" applyNumberFormat="1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/>
    <xf numFmtId="3" fontId="0" fillId="16" borderId="8" xfId="0" applyNumberFormat="1" applyFill="1" applyBorder="1"/>
    <xf numFmtId="9" fontId="0" fillId="16" borderId="20" xfId="0" applyNumberFormat="1" applyFill="1" applyBorder="1" applyAlignment="1">
      <alignment horizontal="center"/>
    </xf>
    <xf numFmtId="0" fontId="0" fillId="17" borderId="23" xfId="0" applyFill="1" applyBorder="1" applyAlignment="1">
      <alignment horizontal="center" vertical="center" shrinkToFit="1"/>
    </xf>
    <xf numFmtId="0" fontId="0" fillId="8" borderId="4" xfId="0" applyFill="1" applyBorder="1" applyAlignment="1">
      <alignment horizontal="center"/>
    </xf>
    <xf numFmtId="0" fontId="0" fillId="8" borderId="5" xfId="0" applyFill="1" applyBorder="1"/>
    <xf numFmtId="42" fontId="0" fillId="8" borderId="6" xfId="0" applyNumberFormat="1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42" fontId="0" fillId="8" borderId="20" xfId="0" applyNumberFormat="1" applyFill="1" applyBorder="1"/>
    <xf numFmtId="0" fontId="0" fillId="17" borderId="51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 wrapText="1"/>
    </xf>
    <xf numFmtId="0" fontId="0" fillId="17" borderId="89" xfId="0" applyFill="1" applyBorder="1" applyAlignment="1">
      <alignment horizontal="center" vertical="center" wrapText="1"/>
    </xf>
    <xf numFmtId="0" fontId="0" fillId="7" borderId="4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/>
    <xf numFmtId="0" fontId="0" fillId="7" borderId="5" xfId="0" applyFill="1" applyBorder="1"/>
    <xf numFmtId="0" fontId="0" fillId="30" borderId="17" xfId="0" applyFill="1" applyBorder="1"/>
    <xf numFmtId="0" fontId="0" fillId="30" borderId="5" xfId="0" applyFill="1" applyBorder="1"/>
    <xf numFmtId="0" fontId="0" fillId="30" borderId="8" xfId="0" applyFill="1" applyBorder="1"/>
    <xf numFmtId="0" fontId="2" fillId="8" borderId="17" xfId="0" applyFont="1" applyFill="1" applyBorder="1" applyAlignment="1">
      <alignment horizontal="center"/>
    </xf>
    <xf numFmtId="0" fontId="2" fillId="8" borderId="42" xfId="0" applyFont="1" applyFill="1" applyBorder="1" applyAlignment="1">
      <alignment horizontal="center"/>
    </xf>
    <xf numFmtId="0" fontId="0" fillId="7" borderId="15" xfId="0" applyFill="1" applyBorder="1"/>
    <xf numFmtId="0" fontId="0" fillId="19" borderId="4" xfId="0" applyFill="1" applyBorder="1" applyAlignment="1">
      <alignment horizontal="center"/>
    </xf>
    <xf numFmtId="0" fontId="0" fillId="19" borderId="50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2" fillId="22" borderId="30" xfId="0" applyFont="1" applyFill="1" applyBorder="1" applyAlignment="1">
      <alignment horizontal="center" vertical="center" wrapText="1"/>
    </xf>
    <xf numFmtId="0" fontId="0" fillId="10" borderId="30" xfId="0" applyFill="1" applyBorder="1"/>
    <xf numFmtId="3" fontId="0" fillId="10" borderId="30" xfId="0" applyNumberFormat="1" applyFill="1" applyBorder="1"/>
    <xf numFmtId="15" fontId="58" fillId="0" borderId="0" xfId="0" applyNumberFormat="1" applyFont="1"/>
    <xf numFmtId="0" fontId="8" fillId="7" borderId="5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" fillId="7" borderId="89" xfId="0" applyFont="1" applyFill="1" applyBorder="1" applyAlignment="1">
      <alignment horizontal="center" vertical="center" wrapText="1"/>
    </xf>
    <xf numFmtId="0" fontId="8" fillId="7" borderId="48" xfId="0" applyFont="1" applyFill="1" applyBorder="1" applyAlignment="1">
      <alignment horizontal="center"/>
    </xf>
    <xf numFmtId="0" fontId="8" fillId="7" borderId="49" xfId="0" applyFont="1" applyFill="1" applyBorder="1" applyAlignment="1">
      <alignment horizontal="center"/>
    </xf>
    <xf numFmtId="0" fontId="8" fillId="31" borderId="41" xfId="0" applyFont="1" applyFill="1" applyBorder="1"/>
    <xf numFmtId="0" fontId="8" fillId="31" borderId="4" xfId="0" applyFont="1" applyFill="1" applyBorder="1"/>
    <xf numFmtId="0" fontId="8" fillId="31" borderId="50" xfId="0" applyFont="1" applyFill="1" applyBorder="1"/>
    <xf numFmtId="0" fontId="10" fillId="31" borderId="17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8" fillId="31" borderId="4" xfId="0" applyFont="1" applyFill="1" applyBorder="1" applyAlignment="1">
      <alignment horizontal="center"/>
    </xf>
    <xf numFmtId="0" fontId="8" fillId="31" borderId="7" xfId="0" applyFont="1" applyFill="1" applyBorder="1" applyAlignment="1">
      <alignment horizontal="center"/>
    </xf>
    <xf numFmtId="0" fontId="0" fillId="7" borderId="23" xfId="0" applyFill="1" applyBorder="1" applyAlignment="1">
      <alignment horizontal="center" vertical="center" wrapText="1"/>
    </xf>
    <xf numFmtId="0" fontId="0" fillId="30" borderId="24" xfId="0" quotePrefix="1" applyFill="1" applyBorder="1" applyAlignment="1">
      <alignment horizontal="center" vertical="center" wrapText="1"/>
    </xf>
    <xf numFmtId="0" fontId="0" fillId="30" borderId="24" xfId="0" quotePrefix="1" applyFill="1" applyBorder="1" applyAlignment="1">
      <alignment horizontal="center" vertical="center"/>
    </xf>
    <xf numFmtId="0" fontId="0" fillId="30" borderId="25" xfId="0" quotePrefix="1" applyFill="1" applyBorder="1" applyAlignment="1">
      <alignment horizontal="center" vertical="center"/>
    </xf>
    <xf numFmtId="0" fontId="0" fillId="15" borderId="90" xfId="0" applyFill="1" applyBorder="1" applyAlignment="1">
      <alignment horizontal="center" vertical="center" wrapText="1"/>
    </xf>
    <xf numFmtId="0" fontId="0" fillId="15" borderId="91" xfId="0" applyFill="1" applyBorder="1" applyAlignment="1">
      <alignment horizontal="center" vertical="center" wrapText="1"/>
    </xf>
    <xf numFmtId="0" fontId="0" fillId="15" borderId="92" xfId="0" applyFill="1" applyBorder="1" applyAlignment="1">
      <alignment horizontal="center" vertical="center" wrapText="1"/>
    </xf>
    <xf numFmtId="0" fontId="0" fillId="16" borderId="93" xfId="0" quotePrefix="1" applyFill="1" applyBorder="1"/>
    <xf numFmtId="0" fontId="0" fillId="16" borderId="94" xfId="0" applyFill="1" applyBorder="1"/>
    <xf numFmtId="0" fontId="0" fillId="16" borderId="94" xfId="0" applyFill="1" applyBorder="1" applyAlignment="1">
      <alignment horizontal="center"/>
    </xf>
    <xf numFmtId="0" fontId="0" fillId="16" borderId="95" xfId="0" applyFill="1" applyBorder="1" applyAlignment="1">
      <alignment horizontal="center"/>
    </xf>
    <xf numFmtId="0" fontId="0" fillId="16" borderId="96" xfId="0" quotePrefix="1" applyFill="1" applyBorder="1"/>
    <xf numFmtId="0" fontId="0" fillId="16" borderId="97" xfId="0" applyFill="1" applyBorder="1"/>
    <xf numFmtId="0" fontId="0" fillId="16" borderId="97" xfId="0" applyFill="1" applyBorder="1" applyAlignment="1">
      <alignment horizontal="center"/>
    </xf>
    <xf numFmtId="0" fontId="0" fillId="16" borderId="98" xfId="0" applyFill="1" applyBorder="1" applyAlignment="1">
      <alignment horizontal="center"/>
    </xf>
    <xf numFmtId="0" fontId="0" fillId="16" borderId="99" xfId="0" quotePrefix="1" applyFill="1" applyBorder="1"/>
    <xf numFmtId="0" fontId="0" fillId="16" borderId="100" xfId="0" applyFill="1" applyBorder="1"/>
    <xf numFmtId="0" fontId="0" fillId="16" borderId="100" xfId="0" applyFill="1" applyBorder="1" applyAlignment="1">
      <alignment horizontal="center"/>
    </xf>
    <xf numFmtId="0" fontId="0" fillId="16" borderId="101" xfId="0" applyFill="1" applyBorder="1" applyAlignment="1">
      <alignment horizontal="center"/>
    </xf>
    <xf numFmtId="15" fontId="54" fillId="0" borderId="0" xfId="0" applyNumberFormat="1" applyFont="1"/>
    <xf numFmtId="0" fontId="0" fillId="27" borderId="24" xfId="0" applyFill="1" applyBorder="1" applyAlignment="1">
      <alignment horizontal="center" vertical="center" wrapText="1"/>
    </xf>
    <xf numFmtId="0" fontId="0" fillId="30" borderId="102" xfId="0" applyFill="1" applyBorder="1" applyAlignment="1">
      <alignment horizontal="center"/>
    </xf>
    <xf numFmtId="0" fontId="0" fillId="30" borderId="102" xfId="0" applyFill="1" applyBorder="1"/>
    <xf numFmtId="0" fontId="0" fillId="30" borderId="103" xfId="0" applyFill="1" applyBorder="1" applyAlignment="1">
      <alignment horizontal="center"/>
    </xf>
    <xf numFmtId="0" fontId="0" fillId="30" borderId="103" xfId="0" applyFill="1" applyBorder="1"/>
    <xf numFmtId="0" fontId="0" fillId="30" borderId="104" xfId="0" applyFill="1" applyBorder="1" applyAlignment="1">
      <alignment horizontal="center"/>
    </xf>
    <xf numFmtId="0" fontId="0" fillId="30" borderId="104" xfId="0" applyFill="1" applyBorder="1"/>
    <xf numFmtId="15" fontId="0" fillId="30" borderId="102" xfId="0" applyNumberFormat="1" applyFill="1" applyBorder="1"/>
    <xf numFmtId="15" fontId="0" fillId="30" borderId="103" xfId="0" applyNumberFormat="1" applyFill="1" applyBorder="1"/>
    <xf numFmtId="15" fontId="0" fillId="30" borderId="104" xfId="0" applyNumberFormat="1" applyFill="1" applyBorder="1"/>
    <xf numFmtId="0" fontId="2" fillId="8" borderId="102" xfId="0" applyFont="1" applyFill="1" applyBorder="1" applyAlignment="1">
      <alignment horizontal="center"/>
    </xf>
    <xf numFmtId="0" fontId="2" fillId="8" borderId="104" xfId="0" applyFont="1" applyFill="1" applyBorder="1" applyAlignment="1">
      <alignment horizontal="center"/>
    </xf>
    <xf numFmtId="0" fontId="0" fillId="15" borderId="88" xfId="0" applyFill="1" applyBorder="1" applyAlignment="1">
      <alignment horizontal="center" vertical="center" wrapText="1"/>
    </xf>
    <xf numFmtId="0" fontId="0" fillId="15" borderId="54" xfId="0" applyFill="1" applyBorder="1" applyAlignment="1">
      <alignment horizontal="center" vertical="center" wrapText="1"/>
    </xf>
    <xf numFmtId="0" fontId="0" fillId="15" borderId="105" xfId="0" applyFill="1" applyBorder="1" applyAlignment="1">
      <alignment horizontal="center" vertical="center" wrapText="1"/>
    </xf>
    <xf numFmtId="0" fontId="0" fillId="12" borderId="41" xfId="0" applyFill="1" applyBorder="1"/>
    <xf numFmtId="0" fontId="0" fillId="12" borderId="17" xfId="0" applyFill="1" applyBorder="1"/>
    <xf numFmtId="0" fontId="2" fillId="12" borderId="17" xfId="0" applyFont="1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17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6" borderId="17" xfId="0" applyFont="1" applyFill="1" applyBorder="1" applyAlignment="1">
      <alignment horizontal="center"/>
    </xf>
    <xf numFmtId="0" fontId="40" fillId="6" borderId="106" xfId="0" applyFont="1" applyFill="1" applyBorder="1"/>
    <xf numFmtId="0" fontId="0" fillId="8" borderId="17" xfId="0" applyFill="1" applyBorder="1"/>
    <xf numFmtId="0" fontId="0" fillId="32" borderId="84" xfId="0" applyFill="1" applyBorder="1" applyAlignment="1">
      <alignment horizontal="center" vertical="center"/>
    </xf>
    <xf numFmtId="0" fontId="0" fillId="32" borderId="17" xfId="0" applyFill="1" applyBorder="1"/>
    <xf numFmtId="0" fontId="0" fillId="32" borderId="17" xfId="0" applyFill="1" applyBorder="1" applyAlignment="1">
      <alignment horizontal="center" vertical="center"/>
    </xf>
    <xf numFmtId="0" fontId="0" fillId="32" borderId="80" xfId="0" applyFill="1" applyBorder="1" applyAlignment="1">
      <alignment horizontal="center" vertical="center"/>
    </xf>
    <xf numFmtId="0" fontId="0" fillId="32" borderId="5" xfId="0" applyFill="1" applyBorder="1"/>
    <xf numFmtId="0" fontId="0" fillId="32" borderId="5" xfId="0" applyFill="1" applyBorder="1" applyAlignment="1">
      <alignment horizontal="center" vertical="center"/>
    </xf>
    <xf numFmtId="0" fontId="0" fillId="32" borderId="82" xfId="0" applyFill="1" applyBorder="1" applyAlignment="1">
      <alignment horizontal="center" vertical="center"/>
    </xf>
    <xf numFmtId="0" fontId="0" fillId="32" borderId="106" xfId="0" applyFill="1" applyBorder="1"/>
    <xf numFmtId="0" fontId="0" fillId="32" borderId="106" xfId="0" applyFill="1" applyBorder="1" applyAlignment="1">
      <alignment horizontal="center" vertical="center"/>
    </xf>
    <xf numFmtId="0" fontId="0" fillId="24" borderId="5" xfId="0" applyFill="1" applyBorder="1"/>
    <xf numFmtId="0" fontId="0" fillId="24" borderId="8" xfId="0" applyFill="1" applyBorder="1"/>
    <xf numFmtId="0" fontId="0" fillId="25" borderId="5" xfId="0" applyFill="1" applyBorder="1"/>
    <xf numFmtId="0" fontId="0" fillId="18" borderId="24" xfId="0" applyFill="1" applyBorder="1"/>
    <xf numFmtId="0" fontId="0" fillId="18" borderId="5" xfId="0" applyFill="1" applyBorder="1"/>
    <xf numFmtId="0" fontId="0" fillId="18" borderId="8" xfId="0" applyFill="1" applyBorder="1"/>
    <xf numFmtId="0" fontId="59" fillId="6" borderId="23" xfId="0" applyFont="1" applyFill="1" applyBorder="1"/>
    <xf numFmtId="0" fontId="59" fillId="6" borderId="4" xfId="0" applyFont="1" applyFill="1" applyBorder="1"/>
    <xf numFmtId="0" fontId="59" fillId="6" borderId="7" xfId="0" applyFont="1" applyFill="1" applyBorder="1"/>
    <xf numFmtId="42" fontId="0" fillId="33" borderId="17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 vertical="distributed"/>
    </xf>
    <xf numFmtId="0" fontId="0" fillId="12" borderId="5" xfId="0" applyFill="1" applyBorder="1" applyAlignment="1">
      <alignment horizontal="center" vertical="distributed"/>
    </xf>
    <xf numFmtId="0" fontId="0" fillId="12" borderId="7" xfId="0" applyFill="1" applyBorder="1" applyAlignment="1">
      <alignment horizontal="center" vertical="distributed"/>
    </xf>
    <xf numFmtId="0" fontId="0" fillId="12" borderId="8" xfId="0" applyFill="1" applyBorder="1" applyAlignment="1">
      <alignment horizontal="center" vertical="distributed"/>
    </xf>
    <xf numFmtId="42" fontId="0" fillId="0" borderId="31" xfId="0" applyNumberFormat="1" applyBorder="1" applyAlignment="1">
      <alignment horizontal="center"/>
    </xf>
    <xf numFmtId="42" fontId="0" fillId="0" borderId="17" xfId="0" applyNumberFormat="1" applyBorder="1"/>
    <xf numFmtId="42" fontId="0" fillId="0" borderId="107" xfId="0" applyNumberFormat="1" applyBorder="1"/>
    <xf numFmtId="42" fontId="0" fillId="0" borderId="108" xfId="0" applyNumberFormat="1" applyBorder="1"/>
    <xf numFmtId="0" fontId="0" fillId="0" borderId="109" xfId="0" applyBorder="1"/>
    <xf numFmtId="0" fontId="18" fillId="0" borderId="0" xfId="0" applyFont="1" applyAlignment="1">
      <alignment horizontal="center"/>
    </xf>
    <xf numFmtId="42" fontId="4" fillId="0" borderId="6" xfId="0" applyNumberFormat="1" applyFont="1" applyBorder="1" applyAlignment="1">
      <alignment horizontal="center"/>
    </xf>
    <xf numFmtId="42" fontId="4" fillId="0" borderId="30" xfId="0" applyNumberFormat="1" applyFont="1" applyBorder="1" applyAlignment="1">
      <alignment horizontal="center"/>
    </xf>
    <xf numFmtId="42" fontId="0" fillId="8" borderId="17" xfId="0" applyNumberFormat="1" applyFill="1" applyBorder="1" applyAlignment="1">
      <alignment horizontal="center"/>
    </xf>
    <xf numFmtId="0" fontId="0" fillId="30" borderId="41" xfId="0" applyFill="1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8" fontId="0" fillId="30" borderId="17" xfId="0" applyNumberFormat="1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0" fontId="0" fillId="30" borderId="5" xfId="0" applyFill="1" applyBorder="1" applyAlignment="1">
      <alignment horizontal="center" vertical="center"/>
    </xf>
    <xf numFmtId="8" fontId="0" fillId="30" borderId="5" xfId="0" applyNumberFormat="1" applyFill="1" applyBorder="1" applyAlignment="1">
      <alignment horizontal="center" vertical="center"/>
    </xf>
    <xf numFmtId="0" fontId="0" fillId="30" borderId="7" xfId="0" applyFill="1" applyBorder="1" applyAlignment="1">
      <alignment horizontal="center" vertical="center"/>
    </xf>
    <xf numFmtId="0" fontId="0" fillId="30" borderId="8" xfId="0" applyFill="1" applyBorder="1" applyAlignment="1">
      <alignment horizontal="center" vertical="center"/>
    </xf>
    <xf numFmtId="8" fontId="0" fillId="30" borderId="8" xfId="0" applyNumberFormat="1" applyFill="1" applyBorder="1" applyAlignment="1">
      <alignment horizontal="center" vertical="center"/>
    </xf>
    <xf numFmtId="0" fontId="0" fillId="26" borderId="24" xfId="0" applyFill="1" applyBorder="1"/>
    <xf numFmtId="0" fontId="0" fillId="26" borderId="5" xfId="0" applyFill="1" applyBorder="1"/>
    <xf numFmtId="0" fontId="0" fillId="26" borderId="5" xfId="0" applyFill="1" applyBorder="1" applyAlignment="1">
      <alignment horizontal="center"/>
    </xf>
    <xf numFmtId="0" fontId="0" fillId="24" borderId="4" xfId="0" applyFill="1" applyBorder="1"/>
    <xf numFmtId="0" fontId="0" fillId="24" borderId="7" xfId="0" applyFill="1" applyBorder="1"/>
    <xf numFmtId="0" fontId="0" fillId="34" borderId="4" xfId="0" applyFill="1" applyBorder="1"/>
    <xf numFmtId="0" fontId="0" fillId="34" borderId="5" xfId="0" applyFill="1" applyBorder="1"/>
    <xf numFmtId="15" fontId="0" fillId="34" borderId="5" xfId="0" applyNumberFormat="1" applyFill="1" applyBorder="1"/>
    <xf numFmtId="0" fontId="0" fillId="34" borderId="5" xfId="0" applyFill="1" applyBorder="1" applyAlignment="1">
      <alignment horizontal="center"/>
    </xf>
    <xf numFmtId="165" fontId="0" fillId="34" borderId="5" xfId="0" applyNumberFormat="1" applyFill="1" applyBorder="1"/>
    <xf numFmtId="0" fontId="0" fillId="34" borderId="7" xfId="0" applyFill="1" applyBorder="1"/>
    <xf numFmtId="0" fontId="0" fillId="34" borderId="8" xfId="0" applyFill="1" applyBorder="1"/>
    <xf numFmtId="15" fontId="0" fillId="34" borderId="8" xfId="0" applyNumberFormat="1" applyFill="1" applyBorder="1"/>
    <xf numFmtId="0" fontId="0" fillId="34" borderId="8" xfId="0" applyFill="1" applyBorder="1" applyAlignment="1">
      <alignment horizontal="center"/>
    </xf>
    <xf numFmtId="165" fontId="0" fillId="34" borderId="8" xfId="0" applyNumberFormat="1" applyFill="1" applyBorder="1"/>
    <xf numFmtId="0" fontId="0" fillId="11" borderId="51" xfId="0" applyFill="1" applyBorder="1" applyAlignment="1">
      <alignment horizontal="center"/>
    </xf>
    <xf numFmtId="0" fontId="0" fillId="23" borderId="17" xfId="0" applyFill="1" applyBorder="1"/>
    <xf numFmtId="0" fontId="0" fillId="23" borderId="17" xfId="0" applyFill="1" applyBorder="1" applyAlignment="1">
      <alignment horizontal="center"/>
    </xf>
    <xf numFmtId="0" fontId="0" fillId="23" borderId="5" xfId="0" applyFill="1" applyBorder="1"/>
    <xf numFmtId="0" fontId="0" fillId="23" borderId="5" xfId="0" applyFill="1" applyBorder="1" applyAlignment="1">
      <alignment horizontal="center"/>
    </xf>
    <xf numFmtId="0" fontId="0" fillId="25" borderId="17" xfId="0" applyFill="1" applyBorder="1"/>
    <xf numFmtId="0" fontId="0" fillId="25" borderId="17" xfId="0" applyNumberFormat="1" applyFill="1" applyBorder="1" applyAlignment="1"/>
    <xf numFmtId="0" fontId="60" fillId="27" borderId="110" xfId="0" applyFont="1" applyFill="1" applyBorder="1" applyAlignment="1">
      <alignment horizontal="center"/>
    </xf>
    <xf numFmtId="0" fontId="60" fillId="27" borderId="111" xfId="0" applyFont="1" applyFill="1" applyBorder="1" applyAlignment="1">
      <alignment horizontal="center"/>
    </xf>
    <xf numFmtId="0" fontId="0" fillId="30" borderId="112" xfId="0" applyFill="1" applyBorder="1"/>
    <xf numFmtId="0" fontId="0" fillId="30" borderId="0" xfId="0" applyFill="1" applyBorder="1" applyAlignment="1">
      <alignment horizontal="center"/>
    </xf>
    <xf numFmtId="0" fontId="0" fillId="30" borderId="113" xfId="0" applyFill="1" applyBorder="1"/>
    <xf numFmtId="0" fontId="0" fillId="30" borderId="114" xfId="0" applyFill="1" applyBorder="1" applyAlignment="1">
      <alignment horizontal="center"/>
    </xf>
    <xf numFmtId="0" fontId="0" fillId="8" borderId="0" xfId="0" applyFill="1" applyBorder="1"/>
    <xf numFmtId="0" fontId="0" fillId="30" borderId="115" xfId="0" applyFill="1" applyBorder="1"/>
    <xf numFmtId="0" fontId="0" fillId="12" borderId="4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60" fillId="35" borderId="5" xfId="0" applyFont="1" applyFill="1" applyBorder="1" applyAlignment="1">
      <alignment horizontal="center"/>
    </xf>
    <xf numFmtId="0" fontId="60" fillId="35" borderId="5" xfId="0" applyFont="1" applyFill="1" applyBorder="1"/>
    <xf numFmtId="0" fontId="0" fillId="9" borderId="39" xfId="0" applyFill="1" applyBorder="1" applyAlignment="1">
      <alignment horizontal="center"/>
    </xf>
    <xf numFmtId="0" fontId="2" fillId="9" borderId="5" xfId="0" applyFont="1" applyFill="1" applyBorder="1" applyAlignment="1">
      <alignment horizontal="center" vertical="justify"/>
    </xf>
    <xf numFmtId="0" fontId="2" fillId="9" borderId="5" xfId="0" applyFont="1" applyFill="1" applyBorder="1" applyAlignment="1">
      <alignment horizontal="center" vertical="center"/>
    </xf>
    <xf numFmtId="0" fontId="0" fillId="10" borderId="5" xfId="0" applyFill="1" applyBorder="1"/>
    <xf numFmtId="14" fontId="0" fillId="32" borderId="17" xfId="0" applyNumberFormat="1" applyFill="1" applyBorder="1"/>
    <xf numFmtId="14" fontId="0" fillId="32" borderId="5" xfId="0" applyNumberFormat="1" applyFill="1" applyBorder="1"/>
    <xf numFmtId="0" fontId="0" fillId="32" borderId="39" xfId="0" applyFill="1" applyBorder="1"/>
    <xf numFmtId="166" fontId="0" fillId="32" borderId="39" xfId="0" applyNumberFormat="1" applyFill="1" applyBorder="1"/>
    <xf numFmtId="0" fontId="0" fillId="10" borderId="116" xfId="0" applyFill="1" applyBorder="1"/>
    <xf numFmtId="0" fontId="0" fillId="10" borderId="18" xfId="0" applyFill="1" applyBorder="1"/>
    <xf numFmtId="0" fontId="0" fillId="10" borderId="81" xfId="0" applyFill="1" applyBorder="1"/>
    <xf numFmtId="0" fontId="0" fillId="10" borderId="74" xfId="0" applyFill="1" applyBorder="1"/>
    <xf numFmtId="0" fontId="0" fillId="10" borderId="75" xfId="0" applyFill="1" applyBorder="1"/>
    <xf numFmtId="0" fontId="2" fillId="0" borderId="0" xfId="0" applyFont="1" applyAlignment="1"/>
    <xf numFmtId="14" fontId="0" fillId="22" borderId="0" xfId="0" applyNumberForma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41" fillId="0" borderId="0" xfId="0" applyFont="1" applyFill="1"/>
    <xf numFmtId="0" fontId="41" fillId="0" borderId="117" xfId="0" applyFont="1" applyBorder="1"/>
    <xf numFmtId="0" fontId="18" fillId="0" borderId="118" xfId="0" applyFont="1" applyBorder="1"/>
    <xf numFmtId="0" fontId="0" fillId="17" borderId="119" xfId="0" applyFill="1" applyBorder="1" applyAlignment="1">
      <alignment horizontal="center" vertical="center"/>
    </xf>
    <xf numFmtId="0" fontId="0" fillId="17" borderId="119" xfId="0" applyFill="1" applyBorder="1" applyAlignment="1">
      <alignment horizontal="center" vertical="justify"/>
    </xf>
    <xf numFmtId="0" fontId="0" fillId="7" borderId="84" xfId="0" applyFill="1" applyBorder="1"/>
    <xf numFmtId="0" fontId="0" fillId="7" borderId="80" xfId="0" applyFill="1" applyBorder="1"/>
    <xf numFmtId="0" fontId="0" fillId="7" borderId="120" xfId="0" applyFill="1" applyBorder="1"/>
    <xf numFmtId="0" fontId="0" fillId="7" borderId="39" xfId="0" applyFill="1" applyBorder="1"/>
    <xf numFmtId="0" fontId="0" fillId="31" borderId="17" xfId="0" applyFill="1" applyBorder="1"/>
    <xf numFmtId="0" fontId="0" fillId="30" borderId="121" xfId="0" applyFill="1" applyBorder="1"/>
    <xf numFmtId="0" fontId="0" fillId="30" borderId="122" xfId="0" applyFill="1" applyBorder="1"/>
    <xf numFmtId="0" fontId="0" fillId="30" borderId="123" xfId="0" applyFill="1" applyBorder="1"/>
    <xf numFmtId="0" fontId="0" fillId="30" borderId="124" xfId="0" applyFill="1" applyBorder="1"/>
    <xf numFmtId="0" fontId="0" fillId="27" borderId="125" xfId="0" applyFill="1" applyBorder="1"/>
    <xf numFmtId="0" fontId="0" fillId="27" borderId="126" xfId="0" applyFill="1" applyBorder="1"/>
    <xf numFmtId="1" fontId="0" fillId="31" borderId="17" xfId="0" applyNumberFormat="1" applyFill="1" applyBorder="1"/>
    <xf numFmtId="1" fontId="0" fillId="31" borderId="18" xfId="0" applyNumberFormat="1" applyFill="1" applyBorder="1"/>
    <xf numFmtId="0" fontId="0" fillId="26" borderId="127" xfId="0" applyFill="1" applyBorder="1" applyAlignment="1">
      <alignment horizontal="center"/>
    </xf>
    <xf numFmtId="0" fontId="0" fillId="26" borderId="128" xfId="0" applyFill="1" applyBorder="1" applyAlignment="1">
      <alignment horizontal="center"/>
    </xf>
    <xf numFmtId="0" fontId="0" fillId="26" borderId="129" xfId="0" applyFill="1" applyBorder="1" applyAlignment="1">
      <alignment horizontal="center"/>
    </xf>
    <xf numFmtId="0" fontId="0" fillId="34" borderId="130" xfId="0" applyFill="1" applyBorder="1" applyAlignment="1">
      <alignment horizontal="center"/>
    </xf>
    <xf numFmtId="0" fontId="0" fillId="34" borderId="131" xfId="0" applyFill="1" applyBorder="1" applyAlignment="1">
      <alignment horizontal="center"/>
    </xf>
    <xf numFmtId="42" fontId="0" fillId="34" borderId="132" xfId="0" applyNumberFormat="1" applyFill="1" applyBorder="1"/>
    <xf numFmtId="0" fontId="0" fillId="34" borderId="133" xfId="0" applyFill="1" applyBorder="1" applyAlignment="1">
      <alignment horizontal="center"/>
    </xf>
    <xf numFmtId="0" fontId="0" fillId="34" borderId="134" xfId="0" applyFill="1" applyBorder="1" applyAlignment="1">
      <alignment horizontal="center"/>
    </xf>
    <xf numFmtId="42" fontId="0" fillId="34" borderId="86" xfId="0" applyNumberFormat="1" applyFill="1" applyBorder="1"/>
    <xf numFmtId="0" fontId="0" fillId="34" borderId="135" xfId="0" applyFill="1" applyBorder="1" applyAlignment="1">
      <alignment horizontal="center"/>
    </xf>
    <xf numFmtId="0" fontId="0" fillId="34" borderId="136" xfId="0" applyFill="1" applyBorder="1" applyAlignment="1">
      <alignment horizontal="center"/>
    </xf>
    <xf numFmtId="42" fontId="0" fillId="34" borderId="137" xfId="0" applyNumberFormat="1" applyFill="1" applyBorder="1"/>
    <xf numFmtId="0" fontId="0" fillId="11" borderId="138" xfId="0" applyFill="1" applyBorder="1" applyAlignment="1">
      <alignment horizontal="right"/>
    </xf>
    <xf numFmtId="0" fontId="0" fillId="11" borderId="133" xfId="0" applyFill="1" applyBorder="1" applyAlignment="1">
      <alignment horizontal="right"/>
    </xf>
    <xf numFmtId="0" fontId="0" fillId="11" borderId="135" xfId="0" applyFill="1" applyBorder="1" applyAlignment="1">
      <alignment horizontal="right"/>
    </xf>
    <xf numFmtId="0" fontId="0" fillId="16" borderId="139" xfId="0" applyFill="1" applyBorder="1" applyAlignment="1">
      <alignment horizontal="right"/>
    </xf>
    <xf numFmtId="0" fontId="0" fillId="16" borderId="140" xfId="0" applyFill="1" applyBorder="1" applyAlignment="1">
      <alignment horizontal="right"/>
    </xf>
    <xf numFmtId="0" fontId="0" fillId="16" borderId="141" xfId="0" applyFill="1" applyBorder="1" applyAlignment="1">
      <alignment horizontal="right"/>
    </xf>
    <xf numFmtId="0" fontId="0" fillId="16" borderId="142" xfId="0" applyFill="1" applyBorder="1" applyAlignment="1">
      <alignment horizontal="right"/>
    </xf>
    <xf numFmtId="0" fontId="0" fillId="16" borderId="134" xfId="0" applyFill="1" applyBorder="1" applyAlignment="1">
      <alignment horizontal="right"/>
    </xf>
    <xf numFmtId="0" fontId="0" fillId="16" borderId="143" xfId="0" applyFill="1" applyBorder="1" applyAlignment="1">
      <alignment horizontal="right"/>
    </xf>
    <xf numFmtId="9" fontId="0" fillId="16" borderId="144" xfId="0" applyNumberFormat="1" applyFill="1" applyBorder="1" applyAlignment="1">
      <alignment horizontal="right"/>
    </xf>
    <xf numFmtId="9" fontId="0" fillId="16" borderId="136" xfId="0" applyNumberFormat="1" applyFill="1" applyBorder="1" applyAlignment="1">
      <alignment horizontal="right"/>
    </xf>
    <xf numFmtId="9" fontId="0" fillId="16" borderId="145" xfId="0" applyNumberFormat="1" applyFill="1" applyBorder="1" applyAlignment="1">
      <alignment horizontal="right"/>
    </xf>
    <xf numFmtId="0" fontId="0" fillId="11" borderId="146" xfId="0" applyFill="1" applyBorder="1" applyAlignment="1">
      <alignment horizontal="center" vertical="center"/>
    </xf>
    <xf numFmtId="0" fontId="0" fillId="11" borderId="128" xfId="0" applyFill="1" applyBorder="1" applyAlignment="1">
      <alignment horizontal="center" vertical="center"/>
    </xf>
    <xf numFmtId="0" fontId="0" fillId="11" borderId="128" xfId="0" applyFill="1" applyBorder="1" applyAlignment="1">
      <alignment horizontal="center" vertical="justify"/>
    </xf>
    <xf numFmtId="0" fontId="0" fillId="36" borderId="147" xfId="0" applyFill="1" applyBorder="1" applyAlignment="1">
      <alignment horizontal="center"/>
    </xf>
    <xf numFmtId="0" fontId="0" fillId="36" borderId="148" xfId="0" applyFill="1" applyBorder="1"/>
    <xf numFmtId="0" fontId="0" fillId="36" borderId="148" xfId="0" applyFill="1" applyBorder="1" applyAlignment="1">
      <alignment horizontal="center"/>
    </xf>
    <xf numFmtId="42" fontId="0" fillId="36" borderId="148" xfId="0" applyNumberFormat="1" applyFill="1" applyBorder="1"/>
    <xf numFmtId="0" fontId="0" fillId="36" borderId="149" xfId="0" applyFill="1" applyBorder="1" applyAlignment="1">
      <alignment horizontal="center"/>
    </xf>
    <xf numFmtId="0" fontId="0" fillId="36" borderId="150" xfId="0" applyFill="1" applyBorder="1"/>
    <xf numFmtId="0" fontId="0" fillId="36" borderId="151" xfId="0" applyFill="1" applyBorder="1" applyAlignment="1">
      <alignment horizontal="center"/>
    </xf>
    <xf numFmtId="0" fontId="0" fillId="36" borderId="152" xfId="0" applyFill="1" applyBorder="1"/>
    <xf numFmtId="0" fontId="53" fillId="37" borderId="5" xfId="0" applyFont="1" applyFill="1" applyBorder="1" applyAlignment="1">
      <alignment horizontal="center" vertical="center"/>
    </xf>
    <xf numFmtId="0" fontId="53" fillId="37" borderId="5" xfId="0" applyFont="1" applyFill="1" applyBorder="1" applyAlignment="1">
      <alignment horizontal="center" vertical="justify"/>
    </xf>
    <xf numFmtId="14" fontId="0" fillId="23" borderId="5" xfId="0" applyNumberFormat="1" applyFill="1" applyBorder="1"/>
    <xf numFmtId="0" fontId="53" fillId="35" borderId="5" xfId="0" applyFont="1" applyFill="1" applyBorder="1"/>
    <xf numFmtId="9" fontId="0" fillId="25" borderId="5" xfId="0" applyNumberFormat="1" applyFill="1" applyBorder="1"/>
    <xf numFmtId="9" fontId="0" fillId="32" borderId="5" xfId="0" applyNumberFormat="1" applyFill="1" applyBorder="1"/>
    <xf numFmtId="0" fontId="61" fillId="0" borderId="0" xfId="0" applyFont="1" applyFill="1" applyAlignment="1">
      <alignment horizontal="center"/>
    </xf>
    <xf numFmtId="0" fontId="62" fillId="38" borderId="153" xfId="0" applyFont="1" applyFill="1" applyBorder="1" applyAlignment="1">
      <alignment horizontal="center" vertical="center"/>
    </xf>
    <xf numFmtId="0" fontId="62" fillId="38" borderId="154" xfId="0" applyFont="1" applyFill="1" applyBorder="1" applyAlignment="1">
      <alignment horizontal="center" vertical="center"/>
    </xf>
    <xf numFmtId="0" fontId="62" fillId="38" borderId="155" xfId="0" applyFont="1" applyFill="1" applyBorder="1" applyAlignment="1">
      <alignment horizontal="center" vertical="center"/>
    </xf>
    <xf numFmtId="0" fontId="0" fillId="19" borderId="156" xfId="0" applyFill="1" applyBorder="1"/>
    <xf numFmtId="0" fontId="0" fillId="19" borderId="157" xfId="0" applyFill="1" applyBorder="1"/>
    <xf numFmtId="0" fontId="0" fillId="19" borderId="158" xfId="0" applyFill="1" applyBorder="1"/>
    <xf numFmtId="0" fontId="0" fillId="19" borderId="159" xfId="0" applyFill="1" applyBorder="1"/>
    <xf numFmtId="0" fontId="0" fillId="19" borderId="160" xfId="0" applyFill="1" applyBorder="1"/>
    <xf numFmtId="0" fontId="0" fillId="19" borderId="161" xfId="0" applyFill="1" applyBorder="1"/>
    <xf numFmtId="0" fontId="0" fillId="19" borderId="2" xfId="0" applyFill="1" applyBorder="1"/>
    <xf numFmtId="0" fontId="62" fillId="14" borderId="162" xfId="0" applyFont="1" applyFill="1" applyBorder="1" applyAlignment="1">
      <alignment horizontal="center" vertical="center"/>
    </xf>
    <xf numFmtId="0" fontId="62" fillId="14" borderId="162" xfId="0" applyFont="1" applyFill="1" applyBorder="1" applyAlignment="1">
      <alignment horizontal="center" vertical="justify"/>
    </xf>
    <xf numFmtId="0" fontId="62" fillId="14" borderId="163" xfId="0" applyFont="1" applyFill="1" applyBorder="1" applyAlignment="1">
      <alignment horizontal="center" vertical="justify"/>
    </xf>
    <xf numFmtId="0" fontId="53" fillId="28" borderId="164" xfId="0" applyFont="1" applyFill="1" applyBorder="1" applyAlignment="1">
      <alignment horizontal="center"/>
    </xf>
    <xf numFmtId="0" fontId="53" fillId="28" borderId="165" xfId="0" applyFont="1" applyFill="1" applyBorder="1" applyAlignment="1">
      <alignment horizontal="center"/>
    </xf>
    <xf numFmtId="0" fontId="0" fillId="16" borderId="164" xfId="0" applyFill="1" applyBorder="1" applyAlignment="1">
      <alignment horizontal="center"/>
    </xf>
    <xf numFmtId="0" fontId="0" fillId="16" borderId="166" xfId="0" applyFill="1" applyBorder="1" applyAlignment="1">
      <alignment horizontal="center"/>
    </xf>
    <xf numFmtId="0" fontId="0" fillId="16" borderId="165" xfId="0" applyFill="1" applyBorder="1" applyAlignment="1">
      <alignment horizontal="center"/>
    </xf>
    <xf numFmtId="0" fontId="0" fillId="16" borderId="167" xfId="0" applyFill="1" applyBorder="1" applyAlignment="1">
      <alignment horizontal="center"/>
    </xf>
    <xf numFmtId="9" fontId="0" fillId="16" borderId="164" xfId="0" applyNumberFormat="1" applyFill="1" applyBorder="1" applyAlignment="1">
      <alignment horizontal="center"/>
    </xf>
    <xf numFmtId="9" fontId="0" fillId="16" borderId="166" xfId="0" applyNumberFormat="1" applyFill="1" applyBorder="1" applyAlignment="1">
      <alignment horizontal="center"/>
    </xf>
    <xf numFmtId="0" fontId="0" fillId="30" borderId="164" xfId="0" applyFill="1" applyBorder="1"/>
    <xf numFmtId="0" fontId="0" fillId="8" borderId="168" xfId="0" applyFill="1" applyBorder="1"/>
    <xf numFmtId="0" fontId="0" fillId="30" borderId="168" xfId="0" applyFill="1" applyBorder="1"/>
    <xf numFmtId="14" fontId="0" fillId="30" borderId="168" xfId="0" applyNumberFormat="1" applyFill="1" applyBorder="1"/>
    <xf numFmtId="14" fontId="0" fillId="30" borderId="164" xfId="0" applyNumberFormat="1" applyFill="1" applyBorder="1"/>
    <xf numFmtId="0" fontId="63" fillId="27" borderId="169" xfId="0" applyFont="1" applyFill="1" applyBorder="1"/>
    <xf numFmtId="0" fontId="59" fillId="27" borderId="164" xfId="0" applyFont="1" applyFill="1" applyBorder="1"/>
    <xf numFmtId="0" fontId="59" fillId="27" borderId="170" xfId="0" applyFont="1" applyFill="1" applyBorder="1"/>
    <xf numFmtId="0" fontId="59" fillId="27" borderId="171" xfId="0" applyFont="1" applyFill="1" applyBorder="1"/>
    <xf numFmtId="0" fontId="59" fillId="27" borderId="172" xfId="0" applyFont="1" applyFill="1" applyBorder="1"/>
    <xf numFmtId="0" fontId="59" fillId="27" borderId="173" xfId="0" applyFont="1" applyFill="1" applyBorder="1"/>
    <xf numFmtId="0" fontId="59" fillId="27" borderId="174" xfId="0" applyFont="1" applyFill="1" applyBorder="1"/>
    <xf numFmtId="0" fontId="59" fillId="27" borderId="175" xfId="0" applyFont="1" applyFill="1" applyBorder="1"/>
    <xf numFmtId="0" fontId="59" fillId="27" borderId="176" xfId="0" applyFont="1" applyFill="1" applyBorder="1"/>
    <xf numFmtId="9" fontId="0" fillId="8" borderId="168" xfId="0" applyNumberFormat="1" applyFill="1" applyBorder="1"/>
    <xf numFmtId="0" fontId="0" fillId="8" borderId="177" xfId="0" applyFill="1" applyBorder="1"/>
    <xf numFmtId="0" fontId="64" fillId="0" borderId="0" xfId="0" applyFont="1"/>
    <xf numFmtId="0" fontId="43" fillId="0" borderId="0" xfId="0" applyFont="1"/>
    <xf numFmtId="0" fontId="44" fillId="0" borderId="4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0" xfId="0" applyFont="1"/>
    <xf numFmtId="0" fontId="44" fillId="2" borderId="23" xfId="0" applyFont="1" applyFill="1" applyBorder="1" applyAlignment="1">
      <alignment horizontal="center" vertical="center" wrapText="1"/>
    </xf>
    <xf numFmtId="0" fontId="44" fillId="2" borderId="24" xfId="0" applyFont="1" applyFill="1" applyBorder="1" applyAlignment="1">
      <alignment horizontal="center" vertical="center" wrapText="1"/>
    </xf>
    <xf numFmtId="0" fontId="44" fillId="2" borderId="25" xfId="0" applyFont="1" applyFill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61" xfId="0" applyFont="1" applyBorder="1" applyAlignment="1">
      <alignment horizontal="center" vertical="center" wrapText="1"/>
    </xf>
    <xf numFmtId="0" fontId="44" fillId="2" borderId="88" xfId="0" applyFont="1" applyFill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21" borderId="54" xfId="0" applyFont="1" applyFill="1" applyBorder="1" applyAlignment="1">
      <alignment horizontal="center" vertical="center" wrapText="1"/>
    </xf>
    <xf numFmtId="0" fontId="44" fillId="21" borderId="17" xfId="0" applyFont="1" applyFill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 wrapText="1"/>
    </xf>
    <xf numFmtId="14" fontId="44" fillId="32" borderId="5" xfId="0" applyNumberFormat="1" applyFont="1" applyFill="1" applyBorder="1" applyAlignment="1">
      <alignment horizontal="center" vertical="center" wrapText="1"/>
    </xf>
    <xf numFmtId="0" fontId="44" fillId="32" borderId="5" xfId="0" applyFont="1" applyFill="1" applyBorder="1" applyAlignment="1">
      <alignment horizontal="center" vertical="center" wrapText="1"/>
    </xf>
    <xf numFmtId="0" fontId="43" fillId="10" borderId="5" xfId="0" applyFont="1" applyFill="1" applyBorder="1" applyAlignment="1">
      <alignment horizontal="center"/>
    </xf>
    <xf numFmtId="0" fontId="44" fillId="10" borderId="5" xfId="0" applyFont="1" applyFill="1" applyBorder="1" applyAlignment="1">
      <alignment horizontal="center" vertical="center" wrapText="1"/>
    </xf>
    <xf numFmtId="44" fontId="45" fillId="10" borderId="5" xfId="0" applyNumberFormat="1" applyFont="1" applyFill="1" applyBorder="1" applyAlignment="1">
      <alignment horizontal="center" vertical="center" wrapText="1"/>
    </xf>
    <xf numFmtId="0" fontId="45" fillId="10" borderId="5" xfId="0" applyFont="1" applyFill="1" applyBorder="1" applyAlignment="1">
      <alignment horizontal="center" vertical="center" wrapText="1"/>
    </xf>
    <xf numFmtId="167" fontId="46" fillId="10" borderId="5" xfId="0" applyNumberFormat="1" applyFont="1" applyFill="1" applyBorder="1"/>
    <xf numFmtId="44" fontId="45" fillId="10" borderId="5" xfId="0" applyNumberFormat="1" applyFont="1" applyFill="1" applyBorder="1"/>
    <xf numFmtId="0" fontId="44" fillId="0" borderId="5" xfId="0" applyFont="1" applyBorder="1" applyAlignment="1">
      <alignment horizontal="left"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75" xfId="0" applyFont="1" applyBorder="1"/>
    <xf numFmtId="0" fontId="65" fillId="10" borderId="5" xfId="0" applyFont="1" applyFill="1" applyBorder="1" applyAlignment="1">
      <alignment horizontal="left"/>
    </xf>
    <xf numFmtId="0" fontId="65" fillId="10" borderId="5" xfId="0" applyFont="1" applyFill="1" applyBorder="1"/>
    <xf numFmtId="0" fontId="66" fillId="39" borderId="50" xfId="0" applyFont="1" applyFill="1" applyBorder="1" applyAlignment="1">
      <alignment horizontal="center" vertical="top" wrapText="1"/>
    </xf>
    <xf numFmtId="0" fontId="67" fillId="39" borderId="9" xfId="0" applyFont="1" applyFill="1" applyBorder="1" applyAlignment="1">
      <alignment horizontal="center" vertical="top"/>
    </xf>
    <xf numFmtId="0" fontId="66" fillId="39" borderId="9" xfId="0" applyFont="1" applyFill="1" applyBorder="1" applyAlignment="1">
      <alignment horizontal="center" vertical="top" wrapText="1"/>
    </xf>
    <xf numFmtId="44" fontId="66" fillId="39" borderId="9" xfId="0" applyNumberFormat="1" applyFont="1" applyFill="1" applyBorder="1" applyAlignment="1">
      <alignment horizontal="center" vertical="top" wrapText="1"/>
    </xf>
    <xf numFmtId="14" fontId="66" fillId="39" borderId="61" xfId="0" applyNumberFormat="1" applyFont="1" applyFill="1" applyBorder="1" applyAlignment="1">
      <alignment horizontal="center" vertical="top" wrapText="1"/>
    </xf>
    <xf numFmtId="14" fontId="66" fillId="39" borderId="9" xfId="0" applyNumberFormat="1" applyFont="1" applyFill="1" applyBorder="1" applyAlignment="1">
      <alignment horizontal="center" vertical="top" wrapText="1"/>
    </xf>
    <xf numFmtId="167" fontId="67" fillId="39" borderId="0" xfId="0" applyNumberFormat="1" applyFont="1" applyFill="1" applyBorder="1" applyAlignment="1">
      <alignment vertical="top"/>
    </xf>
    <xf numFmtId="0" fontId="2" fillId="2" borderId="5" xfId="0" applyFont="1" applyFill="1" applyBorder="1"/>
    <xf numFmtId="0" fontId="0" fillId="3" borderId="5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0" borderId="0" xfId="0" applyNumberFormat="1"/>
    <xf numFmtId="168" fontId="2" fillId="0" borderId="0" xfId="0" applyNumberFormat="1" applyFont="1"/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14" fontId="0" fillId="3" borderId="5" xfId="0" applyNumberFormat="1" applyFill="1" applyBorder="1"/>
    <xf numFmtId="169" fontId="0" fillId="3" borderId="5" xfId="1" applyNumberFormat="1" applyFont="1" applyFill="1" applyBorder="1"/>
    <xf numFmtId="169" fontId="0" fillId="3" borderId="6" xfId="1" applyNumberFormat="1" applyFont="1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14" fontId="0" fillId="3" borderId="8" xfId="0" applyNumberFormat="1" applyFill="1" applyBorder="1"/>
    <xf numFmtId="169" fontId="0" fillId="3" borderId="8" xfId="1" applyNumberFormat="1" applyFont="1" applyFill="1" applyBorder="1"/>
    <xf numFmtId="169" fontId="0" fillId="3" borderId="20" xfId="1" applyNumberFormat="1" applyFont="1" applyFill="1" applyBorder="1"/>
    <xf numFmtId="0" fontId="49" fillId="0" borderId="0" xfId="0" applyFont="1"/>
    <xf numFmtId="0" fontId="50" fillId="5" borderId="179" xfId="0" applyFont="1" applyFill="1" applyBorder="1" applyAlignment="1">
      <alignment horizontal="center"/>
    </xf>
    <xf numFmtId="0" fontId="50" fillId="5" borderId="180" xfId="0" applyFont="1" applyFill="1" applyBorder="1" applyAlignment="1">
      <alignment horizontal="center"/>
    </xf>
    <xf numFmtId="0" fontId="49" fillId="0" borderId="61" xfId="0" applyFont="1" applyBorder="1"/>
    <xf numFmtId="43" fontId="49" fillId="0" borderId="61" xfId="0" applyNumberFormat="1" applyFont="1" applyBorder="1"/>
    <xf numFmtId="0" fontId="49" fillId="0" borderId="17" xfId="0" applyFont="1" applyBorder="1"/>
    <xf numFmtId="43" fontId="49" fillId="0" borderId="17" xfId="0" applyNumberFormat="1" applyFont="1" applyBorder="1"/>
    <xf numFmtId="0" fontId="51" fillId="0" borderId="0" xfId="0" applyFont="1"/>
    <xf numFmtId="42" fontId="0" fillId="0" borderId="11" xfId="0" applyNumberFormat="1" applyBorder="1"/>
    <xf numFmtId="42" fontId="11" fillId="25" borderId="42" xfId="0" applyNumberFormat="1" applyFont="1" applyFill="1" applyBorder="1" applyAlignment="1">
      <alignment horizontal="center"/>
    </xf>
    <xf numFmtId="42" fontId="11" fillId="25" borderId="6" xfId="0" applyNumberFormat="1" applyFont="1" applyFill="1" applyBorder="1" applyAlignment="1">
      <alignment horizontal="center"/>
    </xf>
    <xf numFmtId="42" fontId="11" fillId="25" borderId="20" xfId="0" applyNumberFormat="1" applyFont="1" applyFill="1" applyBorder="1" applyAlignment="1">
      <alignment horizontal="center"/>
    </xf>
    <xf numFmtId="170" fontId="0" fillId="0" borderId="5" xfId="0" applyNumberFormat="1" applyBorder="1"/>
    <xf numFmtId="42" fontId="18" fillId="8" borderId="17" xfId="0" applyNumberFormat="1" applyFont="1" applyFill="1" applyBorder="1" applyAlignment="1">
      <alignment horizontal="center"/>
    </xf>
    <xf numFmtId="43" fontId="0" fillId="8" borderId="17" xfId="0" applyNumberFormat="1" applyFill="1" applyBorder="1" applyAlignment="1">
      <alignment horizontal="center" vertical="center"/>
    </xf>
    <xf numFmtId="43" fontId="0" fillId="8" borderId="5" xfId="0" applyNumberFormat="1" applyFill="1" applyBorder="1" applyAlignment="1">
      <alignment horizontal="center" vertical="center"/>
    </xf>
    <xf numFmtId="42" fontId="0" fillId="8" borderId="17" xfId="0" applyNumberFormat="1" applyFill="1" applyBorder="1" applyAlignment="1">
      <alignment horizontal="center" vertical="center"/>
    </xf>
    <xf numFmtId="42" fontId="0" fillId="8" borderId="5" xfId="0" applyNumberFormat="1" applyFill="1" applyBorder="1" applyAlignment="1">
      <alignment horizontal="center" vertical="center"/>
    </xf>
    <xf numFmtId="42" fontId="0" fillId="8" borderId="42" xfId="0" applyNumberFormat="1" applyFill="1" applyBorder="1" applyAlignment="1">
      <alignment horizontal="center" vertical="center"/>
    </xf>
    <xf numFmtId="42" fontId="0" fillId="8" borderId="6" xfId="0" applyNumberFormat="1" applyFill="1" applyBorder="1" applyAlignment="1">
      <alignment horizontal="center" vertical="center"/>
    </xf>
    <xf numFmtId="18" fontId="0" fillId="34" borderId="5" xfId="0" applyNumberFormat="1" applyFill="1" applyBorder="1"/>
    <xf numFmtId="18" fontId="0" fillId="34" borderId="8" xfId="0" applyNumberFormat="1" applyFill="1" applyBorder="1"/>
    <xf numFmtId="18" fontId="0" fillId="16" borderId="5" xfId="0" applyNumberFormat="1" applyFill="1" applyBorder="1"/>
    <xf numFmtId="171" fontId="0" fillId="16" borderId="5" xfId="0" applyNumberFormat="1" applyFill="1" applyBorder="1"/>
    <xf numFmtId="42" fontId="0" fillId="16" borderId="5" xfId="0" applyNumberFormat="1" applyFill="1" applyBorder="1"/>
    <xf numFmtId="42" fontId="0" fillId="16" borderId="6" xfId="0" applyNumberFormat="1" applyFill="1" applyBorder="1"/>
    <xf numFmtId="42" fontId="2" fillId="11" borderId="89" xfId="0" applyNumberFormat="1" applyFont="1" applyFill="1" applyBorder="1"/>
    <xf numFmtId="42" fontId="18" fillId="8" borderId="17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right"/>
    </xf>
    <xf numFmtId="42" fontId="0" fillId="0" borderId="6" xfId="0" applyNumberFormat="1" applyBorder="1"/>
    <xf numFmtId="170" fontId="0" fillId="33" borderId="17" xfId="0" applyNumberFormat="1" applyFill="1" applyBorder="1" applyAlignment="1">
      <alignment horizontal="center"/>
    </xf>
    <xf numFmtId="170" fontId="0" fillId="0" borderId="0" xfId="0" applyNumberFormat="1"/>
    <xf numFmtId="170" fontId="0" fillId="8" borderId="0" xfId="0" applyNumberFormat="1" applyFill="1" applyBorder="1"/>
    <xf numFmtId="170" fontId="0" fillId="8" borderId="181" xfId="0" applyNumberFormat="1" applyFill="1" applyBorder="1"/>
    <xf numFmtId="170" fontId="0" fillId="8" borderId="110" xfId="0" applyNumberFormat="1" applyFill="1" applyBorder="1"/>
    <xf numFmtId="170" fontId="0" fillId="8" borderId="182" xfId="0" applyNumberFormat="1" applyFill="1" applyBorder="1"/>
    <xf numFmtId="9" fontId="52" fillId="16" borderId="17" xfId="3" applyFont="1" applyFill="1" applyBorder="1" applyAlignment="1">
      <alignment horizontal="center"/>
    </xf>
    <xf numFmtId="172" fontId="52" fillId="16" borderId="42" xfId="2" applyNumberFormat="1" applyFont="1" applyFill="1" applyBorder="1" applyAlignment="1">
      <alignment horizontal="center"/>
    </xf>
    <xf numFmtId="42" fontId="0" fillId="0" borderId="5" xfId="2" applyFont="1" applyBorder="1" applyAlignment="1">
      <alignment horizontal="center"/>
    </xf>
    <xf numFmtId="42" fontId="0" fillId="0" borderId="5" xfId="0" applyNumberFormat="1" applyBorder="1" applyAlignment="1">
      <alignment horizontal="center"/>
    </xf>
    <xf numFmtId="42" fontId="0" fillId="19" borderId="5" xfId="0" applyNumberFormat="1" applyFill="1" applyBorder="1" applyAlignment="1">
      <alignment horizontal="center"/>
    </xf>
    <xf numFmtId="42" fontId="0" fillId="0" borderId="6" xfId="0" applyNumberFormat="1" applyBorder="1" applyAlignment="1">
      <alignment horizontal="center"/>
    </xf>
    <xf numFmtId="42" fontId="0" fillId="19" borderId="183" xfId="0" applyNumberFormat="1" applyFill="1" applyBorder="1" applyAlignment="1">
      <alignment horizontal="center"/>
    </xf>
    <xf numFmtId="42" fontId="10" fillId="31" borderId="17" xfId="0" applyNumberFormat="1" applyFont="1" applyFill="1" applyBorder="1" applyAlignment="1">
      <alignment horizontal="center"/>
    </xf>
    <xf numFmtId="44" fontId="10" fillId="31" borderId="17" xfId="1" applyFont="1" applyFill="1" applyBorder="1" applyAlignment="1">
      <alignment horizontal="center"/>
    </xf>
    <xf numFmtId="44" fontId="10" fillId="0" borderId="17" xfId="1" applyFont="1" applyBorder="1" applyAlignment="1">
      <alignment horizontal="center"/>
    </xf>
    <xf numFmtId="44" fontId="10" fillId="31" borderId="17" xfId="0" applyNumberFormat="1" applyFont="1" applyFill="1" applyBorder="1" applyAlignment="1">
      <alignment horizontal="center"/>
    </xf>
    <xf numFmtId="44" fontId="10" fillId="0" borderId="42" xfId="1" applyFont="1" applyBorder="1" applyAlignment="1">
      <alignment horizontal="center"/>
    </xf>
    <xf numFmtId="170" fontId="2" fillId="16" borderId="17" xfId="0" applyNumberFormat="1" applyFont="1" applyFill="1" applyBorder="1" applyAlignment="1">
      <alignment horizontal="center"/>
    </xf>
    <xf numFmtId="0" fontId="2" fillId="8" borderId="17" xfId="0" quotePrefix="1" applyFont="1" applyFill="1" applyBorder="1" applyAlignment="1">
      <alignment horizontal="center"/>
    </xf>
    <xf numFmtId="0" fontId="0" fillId="30" borderId="102" xfId="0" quotePrefix="1" applyFill="1" applyBorder="1" applyAlignment="1">
      <alignment horizontal="center"/>
    </xf>
    <xf numFmtId="0" fontId="0" fillId="30" borderId="103" xfId="0" quotePrefix="1" applyFill="1" applyBorder="1" applyAlignment="1">
      <alignment horizontal="center"/>
    </xf>
    <xf numFmtId="0" fontId="0" fillId="30" borderId="104" xfId="0" quotePrefix="1" applyFill="1" applyBorder="1" applyAlignment="1">
      <alignment horizontal="center"/>
    </xf>
    <xf numFmtId="15" fontId="2" fillId="8" borderId="102" xfId="0" applyNumberFormat="1" applyFont="1" applyFill="1" applyBorder="1" applyAlignment="1">
      <alignment horizontal="center"/>
    </xf>
    <xf numFmtId="173" fontId="2" fillId="8" borderId="102" xfId="0" applyNumberFormat="1" applyFont="1" applyFill="1" applyBorder="1" applyAlignment="1">
      <alignment horizontal="center"/>
    </xf>
    <xf numFmtId="174" fontId="0" fillId="10" borderId="17" xfId="0" applyNumberFormat="1" applyFill="1" applyBorder="1"/>
    <xf numFmtId="175" fontId="0" fillId="10" borderId="17" xfId="0" applyNumberFormat="1" applyFill="1" applyBorder="1"/>
    <xf numFmtId="171" fontId="0" fillId="10" borderId="17" xfId="0" applyNumberFormat="1" applyFill="1" applyBorder="1" applyAlignment="1">
      <alignment horizontal="center"/>
    </xf>
    <xf numFmtId="0" fontId="18" fillId="31" borderId="17" xfId="0" applyFont="1" applyFill="1" applyBorder="1"/>
    <xf numFmtId="0" fontId="0" fillId="36" borderId="148" xfId="0" applyNumberFormat="1" applyFill="1" applyBorder="1"/>
    <xf numFmtId="0" fontId="18" fillId="11" borderId="127" xfId="0" applyFont="1" applyFill="1" applyBorder="1" applyAlignment="1">
      <alignment horizontal="center" vertical="center"/>
    </xf>
    <xf numFmtId="42" fontId="0" fillId="36" borderId="211" xfId="0" applyNumberFormat="1" applyFill="1" applyBorder="1"/>
    <xf numFmtId="0" fontId="18" fillId="29" borderId="53" xfId="0" applyFont="1" applyFill="1" applyBorder="1" applyAlignment="1">
      <alignment vertical="center"/>
    </xf>
    <xf numFmtId="42" fontId="0" fillId="0" borderId="30" xfId="0" applyNumberFormat="1" applyBorder="1"/>
    <xf numFmtId="0" fontId="0" fillId="0" borderId="212" xfId="0" applyBorder="1"/>
    <xf numFmtId="0" fontId="0" fillId="0" borderId="213" xfId="0" applyBorder="1"/>
    <xf numFmtId="0" fontId="0" fillId="0" borderId="214" xfId="0" applyBorder="1"/>
    <xf numFmtId="0" fontId="0" fillId="0" borderId="212" xfId="0" pivotButton="1" applyBorder="1"/>
    <xf numFmtId="0" fontId="0" fillId="0" borderId="215" xfId="0" applyBorder="1"/>
    <xf numFmtId="0" fontId="0" fillId="0" borderId="216" xfId="0" applyBorder="1"/>
    <xf numFmtId="0" fontId="0" fillId="0" borderId="217" xfId="0" applyNumberFormat="1" applyBorder="1"/>
    <xf numFmtId="0" fontId="0" fillId="0" borderId="218" xfId="0" applyBorder="1"/>
    <xf numFmtId="0" fontId="0" fillId="0" borderId="216" xfId="0" applyNumberFormat="1" applyBorder="1"/>
    <xf numFmtId="0" fontId="0" fillId="0" borderId="219" xfId="0" applyNumberFormat="1" applyBorder="1"/>
    <xf numFmtId="0" fontId="0" fillId="0" borderId="215" xfId="0" applyNumberFormat="1" applyBorder="1"/>
    <xf numFmtId="0" fontId="0" fillId="0" borderId="220" xfId="0" applyBorder="1"/>
    <xf numFmtId="0" fontId="0" fillId="0" borderId="221" xfId="0" applyNumberFormat="1" applyBorder="1"/>
    <xf numFmtId="0" fontId="0" fillId="0" borderId="212" xfId="0" applyNumberFormat="1" applyBorder="1"/>
    <xf numFmtId="0" fontId="0" fillId="0" borderId="218" xfId="0" applyNumberFormat="1" applyBorder="1"/>
    <xf numFmtId="0" fontId="0" fillId="0" borderId="220" xfId="0" applyNumberFormat="1" applyBorder="1"/>
    <xf numFmtId="0" fontId="0" fillId="0" borderId="0" xfId="0" applyNumberFormat="1"/>
    <xf numFmtId="42" fontId="0" fillId="10" borderId="38" xfId="0" applyNumberFormat="1" applyFill="1" applyBorder="1" applyAlignment="1">
      <alignment horizontal="center"/>
    </xf>
    <xf numFmtId="42" fontId="0" fillId="8" borderId="5" xfId="0" applyNumberFormat="1" applyFill="1" applyBorder="1" applyAlignment="1">
      <alignment horizontal="center"/>
    </xf>
    <xf numFmtId="42" fontId="0" fillId="8" borderId="6" xfId="0" applyNumberFormat="1" applyFill="1" applyBorder="1" applyAlignment="1">
      <alignment horizontal="center"/>
    </xf>
    <xf numFmtId="42" fontId="0" fillId="7" borderId="5" xfId="0" applyNumberFormat="1" applyFill="1" applyBorder="1" applyAlignment="1">
      <alignment horizontal="center"/>
    </xf>
    <xf numFmtId="172" fontId="0" fillId="7" borderId="6" xfId="2" applyNumberFormat="1" applyFon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20" borderId="5" xfId="0" applyNumberForma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172" fontId="0" fillId="12" borderId="87" xfId="0" applyNumberFormat="1" applyFill="1" applyBorder="1" applyAlignment="1">
      <alignment horizontal="center"/>
    </xf>
    <xf numFmtId="0" fontId="2" fillId="8" borderId="222" xfId="0" applyFont="1" applyFill="1" applyBorder="1" applyAlignment="1">
      <alignment horizontal="center"/>
    </xf>
    <xf numFmtId="172" fontId="0" fillId="0" borderId="6" xfId="0" applyNumberFormat="1" applyBorder="1" applyAlignment="1">
      <alignment horizontal="center" vertical="distributed"/>
    </xf>
    <xf numFmtId="0" fontId="2" fillId="0" borderId="0" xfId="0" applyFont="1" applyAlignment="1">
      <alignment horizontal="center"/>
    </xf>
    <xf numFmtId="0" fontId="2" fillId="0" borderId="33" xfId="0" applyFont="1" applyBorder="1" applyAlignment="1">
      <alignment horizontal="center"/>
    </xf>
    <xf numFmtId="0" fontId="2" fillId="9" borderId="65" xfId="0" applyFont="1" applyFill="1" applyBorder="1" applyAlignment="1">
      <alignment horizontal="center" vertical="center"/>
    </xf>
    <xf numFmtId="0" fontId="0" fillId="9" borderId="68" xfId="0" applyFill="1" applyBorder="1" applyAlignment="1">
      <alignment horizontal="center" vertical="center"/>
    </xf>
    <xf numFmtId="0" fontId="2" fillId="9" borderId="184" xfId="0" applyFont="1" applyFill="1" applyBorder="1" applyAlignment="1">
      <alignment horizontal="center" vertical="center"/>
    </xf>
    <xf numFmtId="0" fontId="0" fillId="9" borderId="185" xfId="0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0" fontId="0" fillId="9" borderId="66" xfId="0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/>
    </xf>
    <xf numFmtId="0" fontId="2" fillId="9" borderId="187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18" borderId="54" xfId="0" applyFill="1" applyBorder="1" applyAlignment="1">
      <alignment horizontal="center" vertical="center" wrapText="1"/>
    </xf>
    <xf numFmtId="0" fontId="0" fillId="18" borderId="17" xfId="0" applyFill="1" applyBorder="1"/>
    <xf numFmtId="0" fontId="0" fillId="18" borderId="105" xfId="0" applyFill="1" applyBorder="1" applyAlignment="1">
      <alignment horizontal="center" vertical="center" wrapText="1"/>
    </xf>
    <xf numFmtId="0" fontId="0" fillId="18" borderId="42" xfId="0" applyFill="1" applyBorder="1"/>
    <xf numFmtId="0" fontId="0" fillId="18" borderId="79" xfId="0" applyFill="1" applyBorder="1" applyAlignment="1">
      <alignment horizontal="center"/>
    </xf>
    <xf numFmtId="0" fontId="0" fillId="18" borderId="73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18" borderId="88" xfId="0" applyFill="1" applyBorder="1" applyAlignment="1">
      <alignment horizontal="center" vertical="center"/>
    </xf>
    <xf numFmtId="0" fontId="0" fillId="18" borderId="41" xfId="0" applyFill="1" applyBorder="1"/>
    <xf numFmtId="0" fontId="0" fillId="18" borderId="54" xfId="0" applyFill="1" applyBorder="1" applyAlignment="1">
      <alignment horizontal="center" vertical="center"/>
    </xf>
    <xf numFmtId="0" fontId="3" fillId="26" borderId="64" xfId="0" applyFont="1" applyFill="1" applyBorder="1" applyAlignment="1">
      <alignment horizontal="center" vertical="center" wrapText="1"/>
    </xf>
    <xf numFmtId="0" fontId="3" fillId="26" borderId="6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1" fillId="21" borderId="54" xfId="0" applyFont="1" applyFill="1" applyBorder="1" applyAlignment="1">
      <alignment horizontal="center" vertical="center"/>
    </xf>
    <xf numFmtId="0" fontId="11" fillId="21" borderId="17" xfId="0" applyFont="1" applyFill="1" applyBorder="1" applyAlignment="1">
      <alignment horizontal="center" vertical="center"/>
    </xf>
    <xf numFmtId="0" fontId="11" fillId="21" borderId="188" xfId="0" applyFont="1" applyFill="1" applyBorder="1" applyAlignment="1">
      <alignment horizontal="center" vertical="center" wrapText="1"/>
    </xf>
    <xf numFmtId="0" fontId="11" fillId="21" borderId="10" xfId="0" applyFont="1" applyFill="1" applyBorder="1" applyAlignment="1">
      <alignment horizontal="center" vertical="center" wrapText="1"/>
    </xf>
    <xf numFmtId="0" fontId="11" fillId="21" borderId="189" xfId="0" applyFont="1" applyFill="1" applyBorder="1" applyAlignment="1">
      <alignment horizontal="center" vertical="center" wrapText="1"/>
    </xf>
    <xf numFmtId="0" fontId="11" fillId="21" borderId="88" xfId="0" applyFont="1" applyFill="1" applyBorder="1" applyAlignment="1">
      <alignment horizontal="center" vertical="center"/>
    </xf>
    <xf numFmtId="0" fontId="0" fillId="21" borderId="41" xfId="0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0" fontId="11" fillId="21" borderId="6" xfId="0" applyFont="1" applyFill="1" applyBorder="1" applyAlignme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0" fillId="0" borderId="190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89" xfId="0" applyBorder="1" applyAlignment="1">
      <alignment horizontal="right" vertical="center" wrapText="1"/>
    </xf>
    <xf numFmtId="0" fontId="0" fillId="0" borderId="191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92" xfId="0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0" fontId="0" fillId="0" borderId="24" xfId="0" applyBorder="1" applyAlignment="1">
      <alignment horizontal="right" vertical="center" wrapText="1"/>
    </xf>
    <xf numFmtId="0" fontId="18" fillId="0" borderId="193" xfId="0" applyFont="1" applyBorder="1" applyAlignment="1">
      <alignment horizontal="right"/>
    </xf>
    <xf numFmtId="0" fontId="18" fillId="0" borderId="194" xfId="0" applyFont="1" applyBorder="1" applyAlignment="1">
      <alignment horizontal="right"/>
    </xf>
    <xf numFmtId="0" fontId="18" fillId="0" borderId="195" xfId="0" applyFont="1" applyBorder="1" applyAlignment="1">
      <alignment horizontal="right"/>
    </xf>
    <xf numFmtId="0" fontId="28" fillId="0" borderId="0" xfId="0" applyFont="1" applyAlignment="1">
      <alignment horizontal="center"/>
    </xf>
    <xf numFmtId="0" fontId="53" fillId="28" borderId="105" xfId="0" applyFont="1" applyFill="1" applyBorder="1" applyAlignment="1">
      <alignment horizontal="center" vertical="center"/>
    </xf>
    <xf numFmtId="0" fontId="53" fillId="28" borderId="42" xfId="0" applyFont="1" applyFill="1" applyBorder="1" applyAlignment="1">
      <alignment horizontal="center" vertical="center"/>
    </xf>
    <xf numFmtId="15" fontId="53" fillId="28" borderId="193" xfId="0" applyNumberFormat="1" applyFont="1" applyFill="1" applyBorder="1" applyAlignment="1">
      <alignment horizontal="center"/>
    </xf>
    <xf numFmtId="15" fontId="53" fillId="28" borderId="194" xfId="0" applyNumberFormat="1" applyFont="1" applyFill="1" applyBorder="1" applyAlignment="1">
      <alignment horizontal="center"/>
    </xf>
    <xf numFmtId="15" fontId="53" fillId="28" borderId="1" xfId="0" applyNumberFormat="1" applyFont="1" applyFill="1" applyBorder="1" applyAlignment="1">
      <alignment horizontal="center"/>
    </xf>
    <xf numFmtId="15" fontId="53" fillId="28" borderId="196" xfId="0" applyNumberFormat="1" applyFont="1" applyFill="1" applyBorder="1" applyAlignment="1">
      <alignment horizontal="center"/>
    </xf>
    <xf numFmtId="0" fontId="53" fillId="28" borderId="23" xfId="0" applyFont="1" applyFill="1" applyBorder="1" applyAlignment="1">
      <alignment horizontal="center" vertical="center"/>
    </xf>
    <xf numFmtId="0" fontId="53" fillId="28" borderId="4" xfId="0" applyFont="1" applyFill="1" applyBorder="1" applyAlignment="1">
      <alignment horizontal="center" vertical="center"/>
    </xf>
    <xf numFmtId="0" fontId="53" fillId="28" borderId="24" xfId="0" applyFont="1" applyFill="1" applyBorder="1" applyAlignment="1">
      <alignment horizontal="center" vertical="center"/>
    </xf>
    <xf numFmtId="0" fontId="53" fillId="28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0" fillId="6" borderId="197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7" borderId="197" xfId="0" applyFont="1" applyFill="1" applyBorder="1" applyAlignment="1">
      <alignment horizontal="center"/>
    </xf>
    <xf numFmtId="0" fontId="8" fillId="7" borderId="46" xfId="0" applyFont="1" applyFill="1" applyBorder="1" applyAlignment="1">
      <alignment horizontal="center"/>
    </xf>
    <xf numFmtId="0" fontId="8" fillId="7" borderId="47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9" fillId="6" borderId="198" xfId="0" applyFont="1" applyFill="1" applyBorder="1" applyAlignment="1">
      <alignment horizontal="center" vertical="top"/>
    </xf>
    <xf numFmtId="0" fontId="39" fillId="6" borderId="82" xfId="0" applyFont="1" applyFill="1" applyBorder="1" applyAlignment="1">
      <alignment horizontal="center" vertical="top"/>
    </xf>
    <xf numFmtId="0" fontId="40" fillId="6" borderId="199" xfId="0" applyFont="1" applyFill="1" applyBorder="1" applyAlignment="1">
      <alignment horizontal="center" vertical="center"/>
    </xf>
    <xf numFmtId="0" fontId="40" fillId="6" borderId="106" xfId="0" applyFont="1" applyFill="1" applyBorder="1" applyAlignment="1">
      <alignment horizontal="center" vertical="center"/>
    </xf>
    <xf numFmtId="0" fontId="40" fillId="6" borderId="199" xfId="0" applyFont="1" applyFill="1" applyBorder="1" applyAlignment="1">
      <alignment horizontal="center"/>
    </xf>
    <xf numFmtId="0" fontId="41" fillId="11" borderId="23" xfId="0" applyFont="1" applyFill="1" applyBorder="1" applyAlignment="1">
      <alignment horizontal="center" vertical="distributed"/>
    </xf>
    <xf numFmtId="0" fontId="41" fillId="11" borderId="4" xfId="0" applyFont="1" applyFill="1" applyBorder="1" applyAlignment="1">
      <alignment horizontal="center" vertical="distributed"/>
    </xf>
    <xf numFmtId="0" fontId="41" fillId="11" borderId="24" xfId="0" applyFont="1" applyFill="1" applyBorder="1" applyAlignment="1">
      <alignment horizontal="center" vertical="distributed"/>
    </xf>
    <xf numFmtId="0" fontId="41" fillId="11" borderId="5" xfId="0" applyFont="1" applyFill="1" applyBorder="1" applyAlignment="1">
      <alignment horizontal="center" vertical="distributed"/>
    </xf>
    <xf numFmtId="0" fontId="41" fillId="0" borderId="25" xfId="0" applyFont="1" applyBorder="1" applyAlignment="1">
      <alignment horizontal="center" vertical="distributed"/>
    </xf>
    <xf numFmtId="0" fontId="41" fillId="0" borderId="6" xfId="0" applyFont="1" applyBorder="1" applyAlignment="1">
      <alignment horizontal="center" vertical="distributed"/>
    </xf>
    <xf numFmtId="0" fontId="41" fillId="0" borderId="0" xfId="0" applyFont="1" applyAlignment="1">
      <alignment horizontal="center"/>
    </xf>
    <xf numFmtId="0" fontId="2" fillId="17" borderId="4" xfId="0" applyFont="1" applyFill="1" applyBorder="1" applyAlignment="1">
      <alignment horizontal="center" vertical="center"/>
    </xf>
    <xf numFmtId="0" fontId="2" fillId="17" borderId="201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39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justify"/>
    </xf>
    <xf numFmtId="0" fontId="2" fillId="17" borderId="39" xfId="0" applyFont="1" applyFill="1" applyBorder="1" applyAlignment="1">
      <alignment horizontal="center" vertical="justify"/>
    </xf>
    <xf numFmtId="0" fontId="2" fillId="17" borderId="6" xfId="0" applyFont="1" applyFill="1" applyBorder="1" applyAlignment="1">
      <alignment horizontal="center" vertical="center"/>
    </xf>
    <xf numFmtId="0" fontId="2" fillId="17" borderId="200" xfId="0" applyFont="1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/>
    </xf>
    <xf numFmtId="0" fontId="0" fillId="26" borderId="25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60" fillId="37" borderId="5" xfId="0" applyFont="1" applyFill="1" applyBorder="1" applyAlignment="1">
      <alignment horizontal="center" vertical="center"/>
    </xf>
    <xf numFmtId="0" fontId="60" fillId="37" borderId="39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60" fillId="27" borderId="115" xfId="0" applyFont="1" applyFill="1" applyBorder="1" applyAlignment="1">
      <alignment horizontal="center" vertical="center"/>
    </xf>
    <xf numFmtId="0" fontId="60" fillId="27" borderId="202" xfId="0" applyFont="1" applyFill="1" applyBorder="1" applyAlignment="1">
      <alignment horizontal="center" vertical="center"/>
    </xf>
    <xf numFmtId="0" fontId="60" fillId="27" borderId="203" xfId="0" applyFont="1" applyFill="1" applyBorder="1" applyAlignment="1">
      <alignment horizontal="center" vertical="center"/>
    </xf>
    <xf numFmtId="0" fontId="60" fillId="27" borderId="33" xfId="0" applyFont="1" applyFill="1" applyBorder="1" applyAlignment="1">
      <alignment horizontal="center" vertical="center"/>
    </xf>
    <xf numFmtId="0" fontId="60" fillId="27" borderId="115" xfId="0" applyFont="1" applyFill="1" applyBorder="1" applyAlignment="1">
      <alignment horizontal="justify" vertical="justify"/>
    </xf>
    <xf numFmtId="0" fontId="60" fillId="27" borderId="202" xfId="0" applyFont="1" applyFill="1" applyBorder="1" applyAlignment="1">
      <alignment horizontal="justify" vertical="justify"/>
    </xf>
    <xf numFmtId="0" fontId="60" fillId="27" borderId="115" xfId="0" applyFont="1" applyFill="1" applyBorder="1" applyAlignment="1">
      <alignment horizontal="center" vertical="justify"/>
    </xf>
    <xf numFmtId="0" fontId="60" fillId="27" borderId="202" xfId="0" applyFont="1" applyFill="1" applyBorder="1" applyAlignment="1">
      <alignment horizontal="center" vertical="justify"/>
    </xf>
    <xf numFmtId="0" fontId="0" fillId="11" borderId="2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justify"/>
    </xf>
    <xf numFmtId="0" fontId="0" fillId="11" borderId="5" xfId="0" applyFill="1" applyBorder="1" applyAlignment="1">
      <alignment horizontal="center" vertical="justify"/>
    </xf>
    <xf numFmtId="0" fontId="0" fillId="11" borderId="25" xfId="0" applyFill="1" applyBorder="1" applyAlignment="1">
      <alignment horizontal="center" vertical="justify"/>
    </xf>
    <xf numFmtId="0" fontId="0" fillId="11" borderId="6" xfId="0" applyFill="1" applyBorder="1" applyAlignment="1">
      <alignment horizontal="center" vertical="justify"/>
    </xf>
    <xf numFmtId="0" fontId="60" fillId="35" borderId="24" xfId="0" applyFont="1" applyFill="1" applyBorder="1" applyAlignment="1">
      <alignment horizontal="center" vertical="center"/>
    </xf>
    <xf numFmtId="0" fontId="60" fillId="35" borderId="5" xfId="0" applyFont="1" applyFill="1" applyBorder="1" applyAlignment="1">
      <alignment horizontal="center" vertical="center"/>
    </xf>
    <xf numFmtId="0" fontId="60" fillId="35" borderId="24" xfId="0" applyFont="1" applyFill="1" applyBorder="1" applyAlignment="1">
      <alignment horizontal="center"/>
    </xf>
    <xf numFmtId="0" fontId="60" fillId="35" borderId="23" xfId="0" applyFont="1" applyFill="1" applyBorder="1" applyAlignment="1">
      <alignment horizontal="center" vertical="justify"/>
    </xf>
    <xf numFmtId="0" fontId="60" fillId="35" borderId="4" xfId="0" applyFont="1" applyFill="1" applyBorder="1" applyAlignment="1">
      <alignment horizontal="center" vertical="justify"/>
    </xf>
    <xf numFmtId="0" fontId="60" fillId="35" borderId="24" xfId="0" applyFont="1" applyFill="1" applyBorder="1" applyAlignment="1">
      <alignment horizontal="center" vertical="justify"/>
    </xf>
    <xf numFmtId="0" fontId="60" fillId="35" borderId="5" xfId="0" applyFont="1" applyFill="1" applyBorder="1" applyAlignment="1">
      <alignment horizontal="center" vertical="justify"/>
    </xf>
    <xf numFmtId="0" fontId="60" fillId="35" borderId="25" xfId="0" applyFont="1" applyFill="1" applyBorder="1" applyAlignment="1">
      <alignment horizontal="center" vertical="justify"/>
    </xf>
    <xf numFmtId="0" fontId="60" fillId="35" borderId="6" xfId="0" applyFont="1" applyFill="1" applyBorder="1" applyAlignment="1">
      <alignment horizontal="center" vertical="justify"/>
    </xf>
    <xf numFmtId="0" fontId="2" fillId="9" borderId="5" xfId="0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0" fillId="9" borderId="4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/>
    </xf>
    <xf numFmtId="0" fontId="0" fillId="9" borderId="204" xfId="0" applyFill="1" applyBorder="1" applyAlignment="1">
      <alignment horizontal="center" vertical="center"/>
    </xf>
    <xf numFmtId="0" fontId="0" fillId="9" borderId="205" xfId="0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0" fillId="17" borderId="206" xfId="0" applyFill="1" applyBorder="1" applyAlignment="1">
      <alignment horizontal="center" vertical="center"/>
    </xf>
    <xf numFmtId="0" fontId="0" fillId="17" borderId="120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39" xfId="0" applyFill="1" applyBorder="1" applyAlignment="1">
      <alignment horizontal="center" vertical="center"/>
    </xf>
    <xf numFmtId="0" fontId="0" fillId="17" borderId="207" xfId="0" applyFill="1" applyBorder="1" applyAlignment="1">
      <alignment horizontal="center"/>
    </xf>
    <xf numFmtId="0" fontId="0" fillId="17" borderId="116" xfId="0" applyFill="1" applyBorder="1" applyAlignment="1">
      <alignment horizontal="center" vertical="justify"/>
    </xf>
    <xf numFmtId="0" fontId="0" fillId="17" borderId="119" xfId="0" applyFill="1" applyBorder="1" applyAlignment="1">
      <alignment horizontal="center" vertical="justify"/>
    </xf>
    <xf numFmtId="0" fontId="0" fillId="17" borderId="204" xfId="0" applyFill="1" applyBorder="1" applyAlignment="1">
      <alignment horizontal="center" vertical="center"/>
    </xf>
    <xf numFmtId="0" fontId="0" fillId="17" borderId="205" xfId="0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/>
    </xf>
    <xf numFmtId="0" fontId="41" fillId="0" borderId="0" xfId="0" applyFont="1" applyAlignment="1">
      <alignment horizontal="left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4" fillId="0" borderId="0" xfId="0" applyFont="1" applyBorder="1" applyAlignment="1">
      <alignment horizontal="center" vertical="center" wrapText="1"/>
    </xf>
    <xf numFmtId="0" fontId="75" fillId="0" borderId="0" xfId="0" applyFont="1" applyAlignment="1">
      <alignment horizontal="center"/>
    </xf>
    <xf numFmtId="0" fontId="76" fillId="10" borderId="81" xfId="0" applyFont="1" applyFill="1" applyBorder="1" applyAlignment="1">
      <alignment horizontal="center" vertical="center" wrapText="1"/>
    </xf>
    <xf numFmtId="0" fontId="76" fillId="10" borderId="75" xfId="0" applyFont="1" applyFill="1" applyBorder="1" applyAlignment="1">
      <alignment horizontal="center" vertical="center" wrapText="1"/>
    </xf>
    <xf numFmtId="0" fontId="44" fillId="21" borderId="23" xfId="0" applyFont="1" applyFill="1" applyBorder="1" applyAlignment="1">
      <alignment horizontal="center" vertical="center" wrapText="1"/>
    </xf>
    <xf numFmtId="0" fontId="44" fillId="21" borderId="4" xfId="0" applyFont="1" applyFill="1" applyBorder="1" applyAlignment="1">
      <alignment horizontal="center" vertical="center" wrapText="1"/>
    </xf>
    <xf numFmtId="0" fontId="44" fillId="21" borderId="24" xfId="0" applyFont="1" applyFill="1" applyBorder="1" applyAlignment="1">
      <alignment horizontal="center" vertical="center" wrapText="1"/>
    </xf>
    <xf numFmtId="0" fontId="44" fillId="21" borderId="5" xfId="0" applyFont="1" applyFill="1" applyBorder="1" applyAlignment="1">
      <alignment horizontal="center" vertical="center" wrapText="1"/>
    </xf>
    <xf numFmtId="0" fontId="44" fillId="21" borderId="208" xfId="0" applyFont="1" applyFill="1" applyBorder="1" applyAlignment="1">
      <alignment horizontal="center" vertical="center" wrapText="1"/>
    </xf>
    <xf numFmtId="0" fontId="44" fillId="21" borderId="209" xfId="0" applyFont="1" applyFill="1" applyBorder="1" applyAlignment="1">
      <alignment horizontal="center" vertical="center" wrapText="1"/>
    </xf>
    <xf numFmtId="0" fontId="44" fillId="21" borderId="192" xfId="0" applyFont="1" applyFill="1" applyBorder="1" applyAlignment="1">
      <alignment horizontal="center" vertical="center" wrapText="1"/>
    </xf>
    <xf numFmtId="0" fontId="44" fillId="21" borderId="210" xfId="0" applyFont="1" applyFill="1" applyBorder="1" applyAlignment="1">
      <alignment horizontal="center" vertical="center" wrapText="1"/>
    </xf>
    <xf numFmtId="0" fontId="44" fillId="21" borderId="54" xfId="0" applyFont="1" applyFill="1" applyBorder="1" applyAlignment="1">
      <alignment horizontal="center" vertical="center" wrapText="1"/>
    </xf>
    <xf numFmtId="0" fontId="44" fillId="21" borderId="17" xfId="0" applyFont="1" applyFill="1" applyBorder="1" applyAlignment="1">
      <alignment horizontal="center" vertical="center" wrapText="1"/>
    </xf>
    <xf numFmtId="0" fontId="44" fillId="21" borderId="105" xfId="0" applyFont="1" applyFill="1" applyBorder="1" applyAlignment="1">
      <alignment horizontal="center" vertical="center" wrapText="1"/>
    </xf>
    <xf numFmtId="0" fontId="44" fillId="21" borderId="42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/>
    </xf>
    <xf numFmtId="0" fontId="0" fillId="17" borderId="61" xfId="0" applyFill="1" applyBorder="1" applyAlignment="1">
      <alignment horizontal="center" vertical="center"/>
    </xf>
    <xf numFmtId="0" fontId="0" fillId="31" borderId="5" xfId="0" applyFill="1" applyBorder="1"/>
    <xf numFmtId="0" fontId="18" fillId="23" borderId="5" xfId="0" applyFont="1" applyFill="1" applyBorder="1" applyAlignment="1">
      <alignment horizontal="center" vertical="center"/>
    </xf>
    <xf numFmtId="0" fontId="53" fillId="35" borderId="5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5" xfId="0" applyNumberFormat="1" applyFill="1" applyBorder="1" applyAlignment="1">
      <alignment horizontal="center" vertical="center"/>
    </xf>
    <xf numFmtId="0" fontId="18" fillId="25" borderId="5" xfId="0" applyFont="1" applyFill="1" applyBorder="1" applyAlignment="1">
      <alignment horizontal="center" vertical="center"/>
    </xf>
    <xf numFmtId="172" fontId="45" fillId="10" borderId="5" xfId="0" applyNumberFormat="1" applyFont="1" applyFill="1" applyBorder="1" applyAlignment="1">
      <alignment horizontal="center" vertical="center" wrapText="1"/>
    </xf>
    <xf numFmtId="172" fontId="66" fillId="39" borderId="178" xfId="0" applyNumberFormat="1" applyFont="1" applyFill="1" applyBorder="1" applyAlignment="1">
      <alignment vertical="top"/>
    </xf>
  </cellXfs>
  <cellStyles count="4">
    <cellStyle name="Currency" xfId="1" builtinId="4"/>
    <cellStyle name="Currency [0]" xfId="2" builtinId="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>
        <c:manualLayout>
          <c:xMode val="edge"/>
          <c:yMode val="edge"/>
          <c:x val="0.29365162687997337"/>
          <c:y val="2.5125628140703519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title>
    <c:plotArea>
      <c:layout>
        <c:manualLayout>
          <c:layoutTarget val="inner"/>
          <c:xMode val="edge"/>
          <c:yMode val="edge"/>
          <c:x val="0.29629706177936377"/>
          <c:y val="0.27135744974248632"/>
          <c:w val="0.32539766606126558"/>
          <c:h val="0.61809196885788564"/>
        </c:manualLayout>
      </c:layout>
      <c:pieChart>
        <c:varyColors val="1"/>
        <c:ser>
          <c:idx val="0"/>
          <c:order val="0"/>
          <c:tx>
            <c:strRef>
              <c:f>'[1]2'!$B$6</c:f>
              <c:strCache>
                <c:ptCount val="1"/>
                <c:pt idx="0">
                  <c:v>Jumlah Penduduk Miskin (Juta)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'[1]2'!$B$7:$B$14</c:f>
              <c:numCache>
                <c:formatCode>General</c:formatCode>
                <c:ptCount val="8"/>
                <c:pt idx="0">
                  <c:v>49.5</c:v>
                </c:pt>
                <c:pt idx="1">
                  <c:v>47.97</c:v>
                </c:pt>
                <c:pt idx="2">
                  <c:v>38.700000000000003</c:v>
                </c:pt>
                <c:pt idx="3">
                  <c:v>37.9</c:v>
                </c:pt>
                <c:pt idx="4">
                  <c:v>38.4</c:v>
                </c:pt>
                <c:pt idx="5">
                  <c:v>37.299999999999997</c:v>
                </c:pt>
                <c:pt idx="6">
                  <c:v>36.1</c:v>
                </c:pt>
                <c:pt idx="7">
                  <c:v>35.1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6984321404268974"/>
          <c:y val="0.13567891953204342"/>
          <c:w val="0.97883847852351857"/>
          <c:h val="0.984927260976800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lang="en-US"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056" r="0.75000000000000056" t="1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>
        <c:manualLayout>
          <c:xMode val="edge"/>
          <c:yMode val="edge"/>
          <c:x val="0.25661431209987656"/>
          <c:y val="4.5226130653266333E-2"/>
        </c:manualLayout>
      </c:layout>
      <c:spPr>
        <a:noFill/>
        <a:ln w="25400">
          <a:noFill/>
        </a:ln>
      </c:spPr>
      <c:txPr>
        <a:bodyPr/>
        <a:lstStyle/>
        <a:p>
          <a:pPr>
            <a:def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title>
    <c:view3D>
      <c:hPercent val="63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6137607829054598"/>
          <c:y val="0.25628203586790382"/>
          <c:w val="0.46296415903025573"/>
          <c:h val="0.54271489948497265"/>
        </c:manualLayout>
      </c:layout>
      <c:bar3DChart>
        <c:barDir val="col"/>
        <c:grouping val="clustered"/>
        <c:ser>
          <c:idx val="0"/>
          <c:order val="0"/>
          <c:tx>
            <c:strRef>
              <c:f>'[1]2'!$B$6</c:f>
              <c:strCache>
                <c:ptCount val="1"/>
                <c:pt idx="0">
                  <c:v>Jumlah Penduduk Miskin (Juta)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'[1]2'!$B$7:$B$14</c:f>
              <c:numCache>
                <c:formatCode>General</c:formatCode>
                <c:ptCount val="8"/>
                <c:pt idx="0">
                  <c:v>49.5</c:v>
                </c:pt>
                <c:pt idx="1">
                  <c:v>47.97</c:v>
                </c:pt>
                <c:pt idx="2">
                  <c:v>38.700000000000003</c:v>
                </c:pt>
                <c:pt idx="3">
                  <c:v>37.9</c:v>
                </c:pt>
                <c:pt idx="4">
                  <c:v>38.4</c:v>
                </c:pt>
                <c:pt idx="5">
                  <c:v>37.299999999999997</c:v>
                </c:pt>
                <c:pt idx="6">
                  <c:v>36.1</c:v>
                </c:pt>
                <c:pt idx="7">
                  <c:v>35.1</c:v>
                </c:pt>
              </c:numCache>
            </c:numRef>
          </c:val>
        </c:ser>
        <c:shape val="box"/>
        <c:axId val="74669056"/>
        <c:axId val="74679040"/>
        <c:axId val="0"/>
      </c:bar3DChart>
      <c:catAx>
        <c:axId val="746690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74679040"/>
        <c:crosses val="autoZero"/>
        <c:auto val="1"/>
        <c:lblAlgn val="ctr"/>
        <c:lblOffset val="100"/>
        <c:tickLblSkip val="1"/>
        <c:tickMarkSkip val="1"/>
      </c:catAx>
      <c:valAx>
        <c:axId val="74679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74669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344081989751313"/>
          <c:y val="0.48743824107413702"/>
          <c:w val="0.32539765862600545"/>
          <c:h val="0.190955301441591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9525</xdr:rowOff>
    </xdr:from>
    <xdr:to>
      <xdr:col>6</xdr:col>
      <xdr:colOff>466725</xdr:colOff>
      <xdr:row>5</xdr:row>
      <xdr:rowOff>19050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619500" y="590550"/>
          <a:ext cx="1714500" cy="495300"/>
        </a:xfrm>
        <a:prstGeom prst="rect">
          <a:avLst/>
        </a:prstGeom>
      </xdr:spPr>
      <xdr:txBody>
        <a:bodyPr wrap="none" fromWordArt="1">
          <a:prstTxWarp prst="textDoubleWave1">
            <a:avLst>
              <a:gd name="adj1" fmla="val 6500"/>
              <a:gd name="adj2" fmla="val 0"/>
            </a:avLst>
          </a:prstTxWarp>
        </a:bodyPr>
        <a:lstStyle/>
        <a:p>
          <a:pPr algn="ctr" rtl="0"/>
          <a:r>
            <a:rPr lang="en-US" sz="3600" kern="10" spc="-360">
              <a:ln w="12700">
                <a:solidFill>
                  <a:srgbClr val="969696"/>
                </a:solidFill>
                <a:round/>
                <a:headEnd/>
                <a:tailEnd/>
              </a:ln>
              <a:solidFill>
                <a:srgbClr val="FFFF00"/>
              </a:solidFill>
              <a:effectLst>
                <a:outerShdw dist="125724" dir="18900000" algn="ctr" rotWithShape="0">
                  <a:srgbClr val="000099"/>
                </a:outerShdw>
              </a:effectLst>
              <a:latin typeface="Impact"/>
            </a:rPr>
            <a:t>Rp bt-02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114300</xdr:rowOff>
    </xdr:from>
    <xdr:to>
      <xdr:col>11</xdr:col>
      <xdr:colOff>558800</xdr:colOff>
      <xdr:row>4</xdr:row>
      <xdr:rowOff>127000</xdr:rowOff>
    </xdr:to>
    <xdr:cxnSp macro="">
      <xdr:nvCxnSpPr>
        <xdr:cNvPr id="3" name="Straight Arrow Connector 2"/>
        <xdr:cNvCxnSpPr/>
      </xdr:nvCxnSpPr>
      <xdr:spPr>
        <a:xfrm>
          <a:off x="10223500" y="927100"/>
          <a:ext cx="558800" cy="12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3</xdr:row>
      <xdr:rowOff>25400</xdr:rowOff>
    </xdr:from>
    <xdr:to>
      <xdr:col>15</xdr:col>
      <xdr:colOff>520700</xdr:colOff>
      <xdr:row>5</xdr:row>
      <xdr:rowOff>88900</xdr:rowOff>
    </xdr:to>
    <xdr:sp macro="" textlink="">
      <xdr:nvSpPr>
        <xdr:cNvPr id="4" name="TextBox 3"/>
        <xdr:cNvSpPr txBox="1"/>
      </xdr:nvSpPr>
      <xdr:spPr>
        <a:xfrm>
          <a:off x="10858500" y="647700"/>
          <a:ext cx="2324100" cy="5207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Contoh</a:t>
          </a:r>
          <a:r>
            <a:rPr lang="en-US" sz="1100" baseline="0">
              <a:solidFill>
                <a:srgbClr val="FFFF00"/>
              </a:solidFill>
            </a:rPr>
            <a:t> hasil data , bagaimanakah rumusnya???</a:t>
          </a:r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114300</xdr:rowOff>
    </xdr:from>
    <xdr:to>
      <xdr:col>8</xdr:col>
      <xdr:colOff>542925</xdr:colOff>
      <xdr:row>0</xdr:row>
      <xdr:rowOff>381000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4305300" y="114300"/>
          <a:ext cx="4181475" cy="2667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19050">
                <a:solidFill>
                  <a:srgbClr val="99CCFF"/>
                </a:solidFill>
                <a:round/>
                <a:headEnd/>
                <a:tailEnd/>
              </a:ln>
              <a:solidFill>
                <a:srgbClr val="0066CC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/>
            </a:rPr>
            <a:t>PT. Sejahtera Jaya Abadi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104775</xdr:rowOff>
    </xdr:from>
    <xdr:to>
      <xdr:col>9</xdr:col>
      <xdr:colOff>76200</xdr:colOff>
      <xdr:row>14</xdr:row>
      <xdr:rowOff>0</xdr:rowOff>
    </xdr:to>
    <xdr:graphicFrame macro="">
      <xdr:nvGraphicFramePr>
        <xdr:cNvPr id="19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12</xdr:row>
      <xdr:rowOff>47625</xdr:rowOff>
    </xdr:from>
    <xdr:to>
      <xdr:col>3</xdr:col>
      <xdr:colOff>323850</xdr:colOff>
      <xdr:row>24</xdr:row>
      <xdr:rowOff>0</xdr:rowOff>
    </xdr:to>
    <xdr:graphicFrame macro="">
      <xdr:nvGraphicFramePr>
        <xdr:cNvPr id="19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tihan%20Exce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</sheetNames>
    <sheetDataSet>
      <sheetData sheetId="0" refreshError="1"/>
      <sheetData sheetId="1">
        <row r="6">
          <cell r="B6" t="str">
            <v>Jumlah Penduduk Miskin (Juta)</v>
          </cell>
        </row>
        <row r="7">
          <cell r="B7">
            <v>49.5</v>
          </cell>
        </row>
        <row r="8">
          <cell r="B8">
            <v>47.97</v>
          </cell>
        </row>
        <row r="9">
          <cell r="B9">
            <v>38.700000000000003</v>
          </cell>
        </row>
        <row r="10">
          <cell r="B10">
            <v>37.9</v>
          </cell>
        </row>
        <row r="11">
          <cell r="B11">
            <v>38.4</v>
          </cell>
        </row>
        <row r="12">
          <cell r="B12">
            <v>37.299999999999997</v>
          </cell>
        </row>
        <row r="13">
          <cell r="B13">
            <v>36.1</v>
          </cell>
        </row>
        <row r="14">
          <cell r="B14">
            <v>35.1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0778.996223842594" createdVersion="1" refreshedVersion="3" recordCount="8" upgradeOnRefresh="1">
  <cacheSource type="worksheet">
    <worksheetSource ref="A7:C15" sheet="7"/>
  </cacheSource>
  <cacheFields count="3">
    <cacheField name="Nama Pegawai" numFmtId="0">
      <sharedItems count="8">
        <s v="Moch Ali"/>
        <s v="Georgr Parman"/>
        <s v="Ken Narton"/>
        <s v="Joe Frizor"/>
        <s v="Roki Markino"/>
        <s v="Roy Leonard"/>
        <s v="Tomas Herin"/>
        <s v="Mak Ticon"/>
      </sharedItems>
    </cacheField>
    <cacheField name="Jabatan" numFmtId="0">
      <sharedItems count="5">
        <s v="Ass. Manager"/>
        <s v="Manager"/>
        <s v="Staff"/>
        <s v="Kabag"/>
        <s v="Sekretaris"/>
      </sharedItems>
    </cacheField>
    <cacheField name="Gaji Pokok" numFmtId="0">
      <sharedItems containsSemiMixedTypes="0" containsString="0" containsNumber="1" containsInteger="1" minValue="1500000" maxValue="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0778.999659837966" createdVersion="1" refreshedVersion="3" recordCount="8" upgradeOnRefresh="1">
  <cacheSource type="worksheet">
    <worksheetSource ref="A7:H15" sheet="7"/>
  </cacheSource>
  <cacheFields count="8">
    <cacheField name="Nama Pegawai" numFmtId="0">
      <sharedItems count="8">
        <s v="Moch Ali"/>
        <s v="Georgr Parman"/>
        <s v="Ken Narton"/>
        <s v="Joe Frizor"/>
        <s v="Roki Markino"/>
        <s v="Roy Leonard"/>
        <s v="Tomas Herin"/>
        <s v="Mak Ticon"/>
      </sharedItems>
    </cacheField>
    <cacheField name="Jabatan" numFmtId="0">
      <sharedItems count="5">
        <s v="Ass. Manager"/>
        <s v="Manager"/>
        <s v="Staff"/>
        <s v="Kabag"/>
        <s v="Sekretaris"/>
      </sharedItems>
    </cacheField>
    <cacheField name="Gaji Pokok" numFmtId="0">
      <sharedItems containsSemiMixedTypes="0" containsString="0" containsNumber="1" containsInteger="1" minValue="1500000" maxValue="5000000"/>
    </cacheField>
    <cacheField name="Tunj. Anak" numFmtId="0">
      <sharedItems containsSemiMixedTypes="0" containsString="0" containsNumber="1" containsInteger="1" minValue="45000" maxValue="150000"/>
    </cacheField>
    <cacheField name="Tunj. Istri" numFmtId="0">
      <sharedItems containsSemiMixedTypes="0" containsString="0" containsNumber="1" containsInteger="1" minValue="30000" maxValue="100000"/>
    </cacheField>
    <cacheField name="Tunj. Kes" numFmtId="0">
      <sharedItems containsSemiMixedTypes="0" containsString="0" containsNumber="1" containsInteger="1" minValue="112500" maxValue="375000"/>
    </cacheField>
    <cacheField name="Pajak" numFmtId="0">
      <sharedItems containsSemiMixedTypes="0" containsString="0" containsNumber="1" containsInteger="1" minValue="37500" maxValue="125000"/>
    </cacheField>
    <cacheField name="Total Gaji" numFmtId="0">
      <sharedItems containsSemiMixedTypes="0" containsString="0" containsNumber="1" containsInteger="1" minValue="1620000" maxValue="5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000000"/>
  </r>
  <r>
    <x v="1"/>
    <x v="1"/>
    <n v="5000000"/>
  </r>
  <r>
    <x v="2"/>
    <x v="2"/>
    <n v="1750000"/>
  </r>
  <r>
    <x v="3"/>
    <x v="0"/>
    <n v="2750000"/>
  </r>
  <r>
    <x v="4"/>
    <x v="3"/>
    <n v="2500000"/>
  </r>
  <r>
    <x v="5"/>
    <x v="2"/>
    <n v="1500000"/>
  </r>
  <r>
    <x v="6"/>
    <x v="4"/>
    <n v="2250000"/>
  </r>
  <r>
    <x v="7"/>
    <x v="3"/>
    <n v="22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  <n v="3000000"/>
    <n v="90000"/>
    <n v="60000"/>
    <n v="225000"/>
    <n v="75000"/>
    <n v="3240000"/>
  </r>
  <r>
    <x v="1"/>
    <x v="1"/>
    <n v="5000000"/>
    <n v="150000"/>
    <n v="100000"/>
    <n v="375000"/>
    <n v="125000"/>
    <n v="5400000"/>
  </r>
  <r>
    <x v="2"/>
    <x v="2"/>
    <n v="1750000"/>
    <n v="52500"/>
    <n v="35000"/>
    <n v="131250"/>
    <n v="43750"/>
    <n v="1890000"/>
  </r>
  <r>
    <x v="3"/>
    <x v="0"/>
    <n v="2750000"/>
    <n v="82500"/>
    <n v="55000"/>
    <n v="206250"/>
    <n v="68750"/>
    <n v="2970000"/>
  </r>
  <r>
    <x v="4"/>
    <x v="3"/>
    <n v="2500000"/>
    <n v="75000"/>
    <n v="50000"/>
    <n v="187500"/>
    <n v="62500"/>
    <n v="2700000"/>
  </r>
  <r>
    <x v="5"/>
    <x v="2"/>
    <n v="1500000"/>
    <n v="45000"/>
    <n v="30000"/>
    <n v="112500"/>
    <n v="37500"/>
    <n v="1620000"/>
  </r>
  <r>
    <x v="6"/>
    <x v="4"/>
    <n v="2250000"/>
    <n v="67500"/>
    <n v="45000"/>
    <n v="168750"/>
    <n v="56250"/>
    <n v="2430000"/>
  </r>
  <r>
    <x v="7"/>
    <x v="3"/>
    <n v="2250000"/>
    <n v="67500"/>
    <n v="45000"/>
    <n v="168750"/>
    <n v="56250"/>
    <n v="24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G13" firstHeaderRow="1" firstDataRow="2" firstDataCol="1"/>
  <pivotFields count="3">
    <pivotField axis="axisRow" compact="0" outline="0" subtotalTop="0" showAll="0" includeNewItemsInFilter="1">
      <items count="9">
        <item x="1"/>
        <item x="3"/>
        <item x="2"/>
        <item x="7"/>
        <item x="0"/>
        <item x="4"/>
        <item x="5"/>
        <item x="6"/>
        <item t="default"/>
      </items>
    </pivotField>
    <pivotField axis="axisCol" compact="0" outline="0" subtotalTop="0" showAll="0" includeNewItemsInFilter="1">
      <items count="6">
        <item x="0"/>
        <item x="3"/>
        <item x="1"/>
        <item x="4"/>
        <item x="2"/>
        <item t="default"/>
      </items>
    </pivotField>
    <pivotField dataField="1" compact="0" numFmtId="42" outline="0" subtotalTop="0" showAll="0" includeNewItemsInFilter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aji Pokok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G13" firstHeaderRow="1" firstDataRow="2" firstDataCol="1"/>
  <pivotFields count="8">
    <pivotField axis="axisRow" compact="0" outline="0" subtotalTop="0" showAll="0" includeNewItemsInFilter="1">
      <items count="9">
        <item x="1"/>
        <item x="3"/>
        <item x="2"/>
        <item x="7"/>
        <item x="0"/>
        <item x="4"/>
        <item x="5"/>
        <item x="6"/>
        <item t="default"/>
      </items>
    </pivotField>
    <pivotField axis="axisCol" compact="0" outline="0" subtotalTop="0" showAll="0" includeNewItemsInFilter="1">
      <items count="6">
        <item x="0"/>
        <item x="3"/>
        <item x="1"/>
        <item x="4"/>
        <item x="2"/>
        <item t="default"/>
      </items>
    </pivotField>
    <pivotField compact="0" numFmtId="42" outline="0" subtotalTop="0" showAll="0" includeNewItemsInFilter="1"/>
    <pivotField compact="0" numFmtId="42" outline="0" subtotalTop="0" showAll="0" includeNewItemsInFilter="1"/>
    <pivotField compact="0" numFmtId="42" outline="0" subtotalTop="0" showAll="0" includeNewItemsInFilter="1"/>
    <pivotField compact="0" numFmtId="42" outline="0" subtotalTop="0" showAll="0" includeNewItemsInFilter="1"/>
    <pivotField compact="0" numFmtId="42" outline="0" subtotalTop="0" showAll="0" includeNewItemsInFilter="1"/>
    <pivotField dataField="1" compact="0" numFmtId="42" outline="0" subtotalTop="0" showAll="0" includeNewItemsInFilter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Gaji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opLeftCell="A13" workbookViewId="0">
      <selection activeCell="F17" sqref="F17"/>
    </sheetView>
  </sheetViews>
  <sheetFormatPr defaultRowHeight="12.75"/>
  <cols>
    <col min="1" max="1" width="5" customWidth="1"/>
    <col min="2" max="2" width="7.140625" customWidth="1"/>
    <col min="3" max="3" width="18.28515625" customWidth="1"/>
    <col min="4" max="4" width="15.140625" customWidth="1"/>
    <col min="6" max="6" width="14.28515625" customWidth="1"/>
  </cols>
  <sheetData>
    <row r="1" spans="1:6" ht="17.25">
      <c r="A1" s="22" t="s">
        <v>14</v>
      </c>
    </row>
    <row r="3" spans="1:6" ht="13.5" thickBot="1">
      <c r="A3" s="8"/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6" ht="20.25" customHeight="1">
      <c r="A4" s="9">
        <v>1</v>
      </c>
      <c r="B4" s="1" t="s">
        <v>0</v>
      </c>
      <c r="C4" s="2"/>
      <c r="D4" s="2"/>
      <c r="E4" s="2"/>
      <c r="F4" s="2"/>
    </row>
    <row r="5" spans="1:6" ht="22.5" customHeight="1" thickBot="1">
      <c r="A5" s="9">
        <v>2</v>
      </c>
      <c r="B5" s="3" t="s">
        <v>1</v>
      </c>
      <c r="C5" s="4"/>
      <c r="D5" s="5"/>
      <c r="E5" s="5"/>
      <c r="F5" s="5"/>
    </row>
    <row r="6" spans="1:6" ht="31.5" thickTop="1" thickBot="1">
      <c r="A6" s="9">
        <v>3</v>
      </c>
      <c r="B6" s="95" t="s">
        <v>2</v>
      </c>
      <c r="C6" s="96" t="s">
        <v>23</v>
      </c>
      <c r="D6" s="96" t="s">
        <v>22</v>
      </c>
      <c r="E6" s="96" t="s">
        <v>21</v>
      </c>
      <c r="F6" s="97" t="s">
        <v>20</v>
      </c>
    </row>
    <row r="7" spans="1:6" ht="15.75" thickBot="1">
      <c r="A7" s="9">
        <v>4</v>
      </c>
      <c r="B7" s="98">
        <v>1</v>
      </c>
      <c r="C7" s="99" t="s">
        <v>3</v>
      </c>
      <c r="D7" s="100">
        <v>20000</v>
      </c>
      <c r="E7" s="101">
        <v>5</v>
      </c>
      <c r="F7" s="102">
        <f>D7*E7</f>
        <v>100000</v>
      </c>
    </row>
    <row r="8" spans="1:6" ht="15.75" thickBot="1">
      <c r="A8" s="9">
        <v>5</v>
      </c>
      <c r="B8" s="103">
        <v>2</v>
      </c>
      <c r="C8" s="99" t="s">
        <v>7</v>
      </c>
      <c r="D8" s="100">
        <v>7500</v>
      </c>
      <c r="E8" s="101">
        <v>3</v>
      </c>
      <c r="F8" s="102">
        <f t="shared" ref="F8:F14" si="0">D8*E8</f>
        <v>22500</v>
      </c>
    </row>
    <row r="9" spans="1:6" ht="15.75" thickBot="1">
      <c r="A9" s="9">
        <v>6</v>
      </c>
      <c r="B9" s="103">
        <v>3</v>
      </c>
      <c r="C9" s="99" t="s">
        <v>8</v>
      </c>
      <c r="D9" s="100">
        <v>3000</v>
      </c>
      <c r="E9" s="101">
        <v>5</v>
      </c>
      <c r="F9" s="102">
        <f t="shared" si="0"/>
        <v>15000</v>
      </c>
    </row>
    <row r="10" spans="1:6" ht="15.75" thickBot="1">
      <c r="A10" s="9">
        <v>7</v>
      </c>
      <c r="B10" s="103">
        <v>4</v>
      </c>
      <c r="C10" s="99" t="s">
        <v>9</v>
      </c>
      <c r="D10" s="100">
        <v>3500</v>
      </c>
      <c r="E10" s="101">
        <v>5</v>
      </c>
      <c r="F10" s="102">
        <f t="shared" si="0"/>
        <v>17500</v>
      </c>
    </row>
    <row r="11" spans="1:6" ht="15.75" thickBot="1">
      <c r="A11" s="9">
        <v>8</v>
      </c>
      <c r="B11" s="103">
        <v>5</v>
      </c>
      <c r="C11" s="99" t="s">
        <v>10</v>
      </c>
      <c r="D11" s="100">
        <v>4500</v>
      </c>
      <c r="E11" s="101">
        <v>2</v>
      </c>
      <c r="F11" s="102">
        <f t="shared" si="0"/>
        <v>9000</v>
      </c>
    </row>
    <row r="12" spans="1:6" ht="15.75" thickBot="1">
      <c r="A12" s="9">
        <v>9</v>
      </c>
      <c r="B12" s="103">
        <v>6</v>
      </c>
      <c r="C12" s="99" t="s">
        <v>13</v>
      </c>
      <c r="D12" s="100">
        <v>9000</v>
      </c>
      <c r="E12" s="101">
        <v>1</v>
      </c>
      <c r="F12" s="102">
        <f t="shared" si="0"/>
        <v>9000</v>
      </c>
    </row>
    <row r="13" spans="1:6" ht="15.75" thickBot="1">
      <c r="A13" s="9">
        <v>10</v>
      </c>
      <c r="B13" s="103">
        <v>7</v>
      </c>
      <c r="C13" s="99" t="s">
        <v>11</v>
      </c>
      <c r="D13" s="100">
        <v>3000</v>
      </c>
      <c r="E13" s="101">
        <v>4</v>
      </c>
      <c r="F13" s="102">
        <f t="shared" si="0"/>
        <v>12000</v>
      </c>
    </row>
    <row r="14" spans="1:6" ht="15.75" thickBot="1">
      <c r="A14" s="9">
        <v>11</v>
      </c>
      <c r="B14" s="103">
        <v>8</v>
      </c>
      <c r="C14" s="99" t="s">
        <v>12</v>
      </c>
      <c r="D14" s="100">
        <v>7500</v>
      </c>
      <c r="E14" s="101">
        <v>3</v>
      </c>
      <c r="F14" s="102">
        <f t="shared" si="0"/>
        <v>22500</v>
      </c>
    </row>
    <row r="15" spans="1:6" ht="15.75" thickBot="1">
      <c r="A15" s="9">
        <v>12</v>
      </c>
      <c r="B15" s="104" t="s">
        <v>6</v>
      </c>
      <c r="C15" s="104"/>
      <c r="D15" s="104"/>
      <c r="E15" s="105"/>
      <c r="F15" s="102">
        <f>SUM(F7:F14)</f>
        <v>207500</v>
      </c>
    </row>
    <row r="16" spans="1:6" ht="15.75" thickBot="1">
      <c r="A16" s="9">
        <v>13</v>
      </c>
      <c r="B16" s="106" t="s">
        <v>4</v>
      </c>
      <c r="C16" s="106"/>
      <c r="D16" s="106"/>
      <c r="E16" s="107"/>
      <c r="F16" s="102">
        <f>MAX(F7:F14)</f>
        <v>100000</v>
      </c>
    </row>
    <row r="17" spans="1:6" ht="15.75" thickBot="1">
      <c r="A17" s="9">
        <v>14</v>
      </c>
      <c r="B17" s="108" t="s">
        <v>5</v>
      </c>
      <c r="C17" s="108"/>
      <c r="D17" s="108"/>
      <c r="E17" s="109"/>
      <c r="F17" s="110">
        <f>MIN(F7:F14)</f>
        <v>9000</v>
      </c>
    </row>
    <row r="18" spans="1:6" ht="13.5" thickTop="1"/>
    <row r="19" spans="1:6" ht="15">
      <c r="B19" s="10" t="s">
        <v>24</v>
      </c>
    </row>
    <row r="20" spans="1:6" ht="15.75">
      <c r="B20" s="10" t="s">
        <v>943</v>
      </c>
    </row>
    <row r="21" spans="1:6" ht="15.75">
      <c r="B21" s="10" t="s">
        <v>172</v>
      </c>
    </row>
    <row r="22" spans="1:6" ht="15.75">
      <c r="B22" s="10" t="s">
        <v>173</v>
      </c>
    </row>
    <row r="23" spans="1:6" ht="15.75">
      <c r="B23" s="10" t="s">
        <v>174</v>
      </c>
    </row>
  </sheetData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CIBINONG&amp;C021- 87906787&amp;RLATIHAN EXCEL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24"/>
  <sheetViews>
    <sheetView topLeftCell="A5" workbookViewId="0">
      <selection activeCell="H10" sqref="H10"/>
    </sheetView>
  </sheetViews>
  <sheetFormatPr defaultRowHeight="12.75"/>
  <cols>
    <col min="2" max="2" width="5.85546875" customWidth="1"/>
    <col min="3" max="3" width="15.42578125" customWidth="1"/>
    <col min="4" max="4" width="10.42578125" customWidth="1"/>
    <col min="5" max="5" width="12" customWidth="1"/>
    <col min="6" max="6" width="11.5703125" customWidth="1"/>
    <col min="7" max="7" width="10.42578125" customWidth="1"/>
    <col min="8" max="8" width="16.28515625" customWidth="1"/>
  </cols>
  <sheetData>
    <row r="1" spans="1:10" ht="17.25">
      <c r="A1" s="22" t="s">
        <v>239</v>
      </c>
    </row>
    <row r="3" spans="1:10" ht="15.75">
      <c r="B3" s="726" t="s">
        <v>223</v>
      </c>
      <c r="C3" s="726"/>
      <c r="D3" s="726"/>
      <c r="E3" s="726"/>
      <c r="F3" s="726"/>
      <c r="G3" s="726"/>
      <c r="H3" s="726"/>
      <c r="I3" s="11"/>
      <c r="J3" s="11"/>
    </row>
    <row r="4" spans="1:10" ht="15.75">
      <c r="B4" s="726" t="s">
        <v>224</v>
      </c>
      <c r="C4" s="726"/>
      <c r="D4" s="726"/>
      <c r="E4" s="726"/>
      <c r="F4" s="726"/>
      <c r="G4" s="726"/>
      <c r="H4" s="726"/>
      <c r="I4" s="11"/>
      <c r="J4" s="11"/>
    </row>
    <row r="5" spans="1:10" ht="15.75">
      <c r="B5" s="726" t="s">
        <v>225</v>
      </c>
      <c r="C5" s="726"/>
      <c r="D5" s="726"/>
      <c r="E5" s="726"/>
      <c r="F5" s="726"/>
      <c r="G5" s="726"/>
      <c r="H5" s="726"/>
      <c r="I5" s="11"/>
      <c r="J5" s="11"/>
    </row>
    <row r="7" spans="1:10" ht="13.5" thickBot="1"/>
    <row r="8" spans="1:10" ht="18.75" customHeight="1" thickBot="1">
      <c r="B8" s="732" t="s">
        <v>2</v>
      </c>
      <c r="C8" s="727" t="s">
        <v>226</v>
      </c>
      <c r="D8" s="729" t="s">
        <v>229</v>
      </c>
      <c r="E8" s="730"/>
      <c r="F8" s="731"/>
      <c r="G8" s="184" t="s">
        <v>212</v>
      </c>
      <c r="H8" s="734" t="s">
        <v>228</v>
      </c>
    </row>
    <row r="9" spans="1:10" ht="21" customHeight="1">
      <c r="B9" s="733"/>
      <c r="C9" s="728"/>
      <c r="D9" s="185" t="s">
        <v>227</v>
      </c>
      <c r="E9" s="186" t="s">
        <v>240</v>
      </c>
      <c r="F9" s="187" t="s">
        <v>241</v>
      </c>
      <c r="G9" s="187" t="s">
        <v>229</v>
      </c>
      <c r="H9" s="735"/>
    </row>
    <row r="10" spans="1:10" ht="17.100000000000001" customHeight="1">
      <c r="B10" s="188">
        <v>1</v>
      </c>
      <c r="C10" s="190" t="s">
        <v>230</v>
      </c>
      <c r="D10" s="191">
        <v>8</v>
      </c>
      <c r="E10" s="191">
        <v>9</v>
      </c>
      <c r="F10" s="191">
        <v>8</v>
      </c>
      <c r="G10" s="191">
        <f>AVERAGE(D10:F10)</f>
        <v>8.3333333333333339</v>
      </c>
      <c r="H10" s="192" t="str">
        <f>IF(G10&gt;=6,"LULUS","TIDAK LULUS")</f>
        <v>LULUS</v>
      </c>
    </row>
    <row r="11" spans="1:10" ht="17.100000000000001" customHeight="1">
      <c r="B11" s="188">
        <v>2</v>
      </c>
      <c r="C11" s="190" t="s">
        <v>242</v>
      </c>
      <c r="D11" s="191">
        <v>7</v>
      </c>
      <c r="E11" s="191">
        <v>8</v>
      </c>
      <c r="F11" s="191">
        <v>9</v>
      </c>
      <c r="G11" s="191">
        <f t="shared" ref="G11:G19" si="0">AVERAGE(D11:F11)</f>
        <v>8</v>
      </c>
      <c r="H11" s="192" t="str">
        <f t="shared" ref="H11:H19" si="1">IF(G11&gt;=6,"LULUS","TIDAK LULUS")</f>
        <v>LULUS</v>
      </c>
    </row>
    <row r="12" spans="1:10" ht="17.100000000000001" customHeight="1">
      <c r="B12" s="188">
        <v>3</v>
      </c>
      <c r="C12" s="190" t="s">
        <v>231</v>
      </c>
      <c r="D12" s="191">
        <v>4</v>
      </c>
      <c r="E12" s="191">
        <v>5</v>
      </c>
      <c r="F12" s="191">
        <v>6</v>
      </c>
      <c r="G12" s="191">
        <f>AVERAGE(D12:F12)</f>
        <v>5</v>
      </c>
      <c r="H12" s="192" t="str">
        <f t="shared" si="1"/>
        <v>TIDAK LULUS</v>
      </c>
    </row>
    <row r="13" spans="1:10" ht="17.100000000000001" customHeight="1">
      <c r="B13" s="188">
        <v>4</v>
      </c>
      <c r="C13" s="190" t="s">
        <v>232</v>
      </c>
      <c r="D13" s="191">
        <v>8</v>
      </c>
      <c r="E13" s="191">
        <v>9</v>
      </c>
      <c r="F13" s="191">
        <v>9</v>
      </c>
      <c r="G13" s="191">
        <f t="shared" si="0"/>
        <v>8.6666666666666661</v>
      </c>
      <c r="H13" s="192" t="str">
        <f t="shared" si="1"/>
        <v>LULUS</v>
      </c>
    </row>
    <row r="14" spans="1:10" ht="17.100000000000001" customHeight="1">
      <c r="B14" s="188">
        <v>5</v>
      </c>
      <c r="C14" s="190" t="s">
        <v>233</v>
      </c>
      <c r="D14" s="191">
        <v>7</v>
      </c>
      <c r="E14" s="191">
        <v>6</v>
      </c>
      <c r="F14" s="191">
        <v>7</v>
      </c>
      <c r="G14" s="191">
        <f t="shared" si="0"/>
        <v>6.666666666666667</v>
      </c>
      <c r="H14" s="192" t="str">
        <f t="shared" si="1"/>
        <v>LULUS</v>
      </c>
    </row>
    <row r="15" spans="1:10" ht="17.100000000000001" customHeight="1">
      <c r="B15" s="188">
        <v>6</v>
      </c>
      <c r="C15" s="190" t="s">
        <v>234</v>
      </c>
      <c r="D15" s="191">
        <v>8</v>
      </c>
      <c r="E15" s="191">
        <v>7</v>
      </c>
      <c r="F15" s="191">
        <v>8</v>
      </c>
      <c r="G15" s="191">
        <f t="shared" si="0"/>
        <v>7.666666666666667</v>
      </c>
      <c r="H15" s="192" t="str">
        <f t="shared" si="1"/>
        <v>LULUS</v>
      </c>
    </row>
    <row r="16" spans="1:10" ht="17.100000000000001" customHeight="1">
      <c r="B16" s="188">
        <v>7</v>
      </c>
      <c r="C16" s="190" t="s">
        <v>235</v>
      </c>
      <c r="D16" s="191">
        <v>7</v>
      </c>
      <c r="E16" s="191">
        <v>8</v>
      </c>
      <c r="F16" s="191">
        <v>7</v>
      </c>
      <c r="G16" s="191">
        <f t="shared" si="0"/>
        <v>7.333333333333333</v>
      </c>
      <c r="H16" s="192" t="str">
        <f t="shared" si="1"/>
        <v>LULUS</v>
      </c>
    </row>
    <row r="17" spans="1:8" ht="17.100000000000001" customHeight="1">
      <c r="B17" s="188">
        <v>8</v>
      </c>
      <c r="C17" s="190" t="s">
        <v>236</v>
      </c>
      <c r="D17" s="191">
        <v>5</v>
      </c>
      <c r="E17" s="191">
        <v>6</v>
      </c>
      <c r="F17" s="191">
        <v>5</v>
      </c>
      <c r="G17" s="191">
        <f t="shared" si="0"/>
        <v>5.333333333333333</v>
      </c>
      <c r="H17" s="192" t="str">
        <f t="shared" si="1"/>
        <v>TIDAK LULUS</v>
      </c>
    </row>
    <row r="18" spans="1:8" ht="17.100000000000001" customHeight="1">
      <c r="B18" s="188">
        <v>9</v>
      </c>
      <c r="C18" s="190" t="s">
        <v>237</v>
      </c>
      <c r="D18" s="191">
        <v>6</v>
      </c>
      <c r="E18" s="191">
        <v>6</v>
      </c>
      <c r="F18" s="191">
        <v>6</v>
      </c>
      <c r="G18" s="191">
        <f t="shared" si="0"/>
        <v>6</v>
      </c>
      <c r="H18" s="192" t="str">
        <f t="shared" si="1"/>
        <v>LULUS</v>
      </c>
    </row>
    <row r="19" spans="1:8" ht="17.100000000000001" customHeight="1" thickBot="1">
      <c r="B19" s="189">
        <v>10</v>
      </c>
      <c r="C19" s="193" t="s">
        <v>238</v>
      </c>
      <c r="D19" s="194">
        <v>5</v>
      </c>
      <c r="E19" s="194">
        <v>5</v>
      </c>
      <c r="F19" s="194">
        <v>5</v>
      </c>
      <c r="G19" s="191">
        <f t="shared" si="0"/>
        <v>5</v>
      </c>
      <c r="H19" s="192" t="str">
        <f t="shared" si="1"/>
        <v>TIDAK LULUS</v>
      </c>
    </row>
    <row r="21" spans="1:8" ht="15">
      <c r="A21" s="26" t="s">
        <v>24</v>
      </c>
      <c r="B21" s="26"/>
      <c r="C21" s="26"/>
      <c r="D21" s="26"/>
      <c r="E21" s="26"/>
      <c r="F21" s="26"/>
    </row>
    <row r="22" spans="1:8" ht="15.75">
      <c r="A22" s="26" t="s">
        <v>244</v>
      </c>
      <c r="B22" s="26"/>
      <c r="C22" s="26"/>
      <c r="D22" s="26"/>
      <c r="E22" s="26"/>
      <c r="F22" s="26"/>
    </row>
    <row r="23" spans="1:8" ht="15.75">
      <c r="A23" s="26" t="s">
        <v>245</v>
      </c>
      <c r="B23" s="26"/>
      <c r="C23" s="26"/>
      <c r="D23" s="26"/>
      <c r="E23" s="26"/>
      <c r="F23" s="26"/>
    </row>
    <row r="24" spans="1:8" ht="15">
      <c r="A24" s="26"/>
      <c r="B24" s="26"/>
      <c r="C24" s="26" t="s">
        <v>243</v>
      </c>
      <c r="D24" s="26"/>
      <c r="E24" s="26"/>
      <c r="F24" s="26"/>
    </row>
  </sheetData>
  <mergeCells count="7">
    <mergeCell ref="C8:C9"/>
    <mergeCell ref="D8:F8"/>
    <mergeCell ref="B8:B9"/>
    <mergeCell ref="B3:H3"/>
    <mergeCell ref="B4:H4"/>
    <mergeCell ref="B5:H5"/>
    <mergeCell ref="H8:H9"/>
  </mergeCells>
  <phoneticPr fontId="5" type="noConversion"/>
  <pageMargins left="0.75" right="0.41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24"/>
  <sheetViews>
    <sheetView topLeftCell="A13" workbookViewId="0">
      <selection activeCell="F17" sqref="F17"/>
    </sheetView>
  </sheetViews>
  <sheetFormatPr defaultRowHeight="12.75"/>
  <cols>
    <col min="2" max="2" width="6.5703125" customWidth="1"/>
    <col min="3" max="3" width="11.5703125" customWidth="1"/>
    <col min="4" max="4" width="12.28515625" customWidth="1"/>
    <col min="5" max="5" width="11.42578125" customWidth="1"/>
    <col min="6" max="6" width="13.7109375" customWidth="1"/>
  </cols>
  <sheetData>
    <row r="1" spans="1:6" ht="17.25">
      <c r="A1" s="22" t="s">
        <v>246</v>
      </c>
    </row>
    <row r="3" spans="1:6" ht="15.75">
      <c r="B3" s="736" t="s">
        <v>247</v>
      </c>
      <c r="C3" s="736"/>
      <c r="D3" s="736"/>
      <c r="E3" s="736"/>
      <c r="F3" s="736"/>
    </row>
    <row r="4" spans="1:6" ht="18">
      <c r="B4" s="737" t="s">
        <v>248</v>
      </c>
      <c r="C4" s="737"/>
      <c r="D4" s="737"/>
      <c r="E4" s="737"/>
      <c r="F4" s="737"/>
    </row>
    <row r="5" spans="1:6" ht="15">
      <c r="B5" s="708" t="s">
        <v>249</v>
      </c>
      <c r="C5" s="708"/>
      <c r="D5" s="708"/>
      <c r="E5" s="708"/>
      <c r="F5" s="708"/>
    </row>
    <row r="7" spans="1:6" ht="15.75" thickBot="1">
      <c r="B7" s="26" t="s">
        <v>250</v>
      </c>
      <c r="C7" s="195">
        <v>1000</v>
      </c>
      <c r="D7" s="26"/>
      <c r="E7" s="39" t="s">
        <v>251</v>
      </c>
      <c r="F7" s="196">
        <v>500</v>
      </c>
    </row>
    <row r="8" spans="1:6" ht="30.75" thickBot="1">
      <c r="B8" s="197" t="s">
        <v>2</v>
      </c>
      <c r="C8" s="198" t="s">
        <v>252</v>
      </c>
      <c r="D8" s="198" t="s">
        <v>253</v>
      </c>
      <c r="E8" s="198" t="s">
        <v>254</v>
      </c>
      <c r="F8" s="199" t="s">
        <v>255</v>
      </c>
    </row>
    <row r="9" spans="1:6" ht="15.75" thickTop="1">
      <c r="B9" s="205">
        <v>1</v>
      </c>
      <c r="C9" s="200" t="s">
        <v>256</v>
      </c>
      <c r="D9" s="203" t="str">
        <f t="shared" ref="D9:D18" si="0">IF(C9="K","Kalkir","HVS")</f>
        <v>Kalkir</v>
      </c>
      <c r="E9" s="200">
        <v>15</v>
      </c>
      <c r="F9" s="614">
        <f>$C$7*E9</f>
        <v>15000</v>
      </c>
    </row>
    <row r="10" spans="1:6" ht="15">
      <c r="B10" s="206">
        <v>2</v>
      </c>
      <c r="C10" s="201" t="s">
        <v>257</v>
      </c>
      <c r="D10" s="204" t="str">
        <f t="shared" si="0"/>
        <v>HVS</v>
      </c>
      <c r="E10" s="201">
        <v>20</v>
      </c>
      <c r="F10" s="615">
        <f>$F$7*E10</f>
        <v>10000</v>
      </c>
    </row>
    <row r="11" spans="1:6" ht="15">
      <c r="B11" s="206">
        <v>3</v>
      </c>
      <c r="C11" s="201" t="s">
        <v>257</v>
      </c>
      <c r="D11" s="204" t="str">
        <f t="shared" si="0"/>
        <v>HVS</v>
      </c>
      <c r="E11" s="201">
        <v>5</v>
      </c>
      <c r="F11" s="615">
        <f>$F$7*E11</f>
        <v>2500</v>
      </c>
    </row>
    <row r="12" spans="1:6" ht="15">
      <c r="B12" s="206">
        <v>4</v>
      </c>
      <c r="C12" s="201" t="s">
        <v>256</v>
      </c>
      <c r="D12" s="204" t="str">
        <f t="shared" si="0"/>
        <v>Kalkir</v>
      </c>
      <c r="E12" s="201">
        <v>10</v>
      </c>
      <c r="F12" s="615">
        <f>$C$7*E12</f>
        <v>10000</v>
      </c>
    </row>
    <row r="13" spans="1:6" ht="15">
      <c r="B13" s="206">
        <v>5</v>
      </c>
      <c r="C13" s="201" t="s">
        <v>256</v>
      </c>
      <c r="D13" s="204" t="str">
        <f t="shared" si="0"/>
        <v>Kalkir</v>
      </c>
      <c r="E13" s="201">
        <v>20</v>
      </c>
      <c r="F13" s="615">
        <f>$C$7*E13</f>
        <v>20000</v>
      </c>
    </row>
    <row r="14" spans="1:6" ht="15">
      <c r="B14" s="206">
        <v>6</v>
      </c>
      <c r="C14" s="201" t="s">
        <v>257</v>
      </c>
      <c r="D14" s="204" t="str">
        <f t="shared" si="0"/>
        <v>HVS</v>
      </c>
      <c r="E14" s="201">
        <v>30</v>
      </c>
      <c r="F14" s="615">
        <f>$F$7*E14</f>
        <v>15000</v>
      </c>
    </row>
    <row r="15" spans="1:6" ht="15">
      <c r="B15" s="206">
        <v>7</v>
      </c>
      <c r="C15" s="201" t="s">
        <v>256</v>
      </c>
      <c r="D15" s="204" t="str">
        <f t="shared" si="0"/>
        <v>Kalkir</v>
      </c>
      <c r="E15" s="201">
        <v>18</v>
      </c>
      <c r="F15" s="615">
        <f>$C$7*E15</f>
        <v>18000</v>
      </c>
    </row>
    <row r="16" spans="1:6" ht="15">
      <c r="B16" s="206">
        <v>8</v>
      </c>
      <c r="C16" s="201" t="s">
        <v>256</v>
      </c>
      <c r="D16" s="204" t="str">
        <f t="shared" si="0"/>
        <v>Kalkir</v>
      </c>
      <c r="E16" s="201">
        <v>10</v>
      </c>
      <c r="F16" s="615">
        <f>$C$7*E16</f>
        <v>10000</v>
      </c>
    </row>
    <row r="17" spans="1:6" ht="15">
      <c r="B17" s="206">
        <v>9</v>
      </c>
      <c r="C17" s="201" t="s">
        <v>256</v>
      </c>
      <c r="D17" s="204" t="str">
        <f t="shared" si="0"/>
        <v>Kalkir</v>
      </c>
      <c r="E17" s="201">
        <v>25</v>
      </c>
      <c r="F17" s="615">
        <f>$C$7*E17</f>
        <v>25000</v>
      </c>
    </row>
    <row r="18" spans="1:6" ht="15.75" thickBot="1">
      <c r="B18" s="207">
        <v>10</v>
      </c>
      <c r="C18" s="202" t="s">
        <v>257</v>
      </c>
      <c r="D18" s="204" t="str">
        <f t="shared" si="0"/>
        <v>HVS</v>
      </c>
      <c r="E18" s="202">
        <v>21</v>
      </c>
      <c r="F18" s="616">
        <f>$F$7*E18</f>
        <v>10500</v>
      </c>
    </row>
    <row r="20" spans="1:6" ht="15">
      <c r="A20" s="40" t="s">
        <v>24</v>
      </c>
      <c r="B20" s="41"/>
    </row>
    <row r="21" spans="1:6" ht="15.75">
      <c r="A21" s="26" t="s">
        <v>258</v>
      </c>
    </row>
    <row r="22" spans="1:6" ht="15">
      <c r="A22" s="26"/>
      <c r="C22" s="26" t="s">
        <v>260</v>
      </c>
      <c r="D22" s="26"/>
    </row>
    <row r="23" spans="1:6" ht="15.75">
      <c r="A23" s="26" t="s">
        <v>259</v>
      </c>
    </row>
    <row r="24" spans="1:6" ht="15">
      <c r="A24" s="26" t="s">
        <v>261</v>
      </c>
    </row>
  </sheetData>
  <mergeCells count="3">
    <mergeCell ref="B3:F3"/>
    <mergeCell ref="B4:F4"/>
    <mergeCell ref="B5:F5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  <ignoredErrors>
    <ignoredError sqref="F1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M31"/>
  <sheetViews>
    <sheetView topLeftCell="A5" workbookViewId="0">
      <selection activeCell="F6" sqref="F6"/>
    </sheetView>
  </sheetViews>
  <sheetFormatPr defaultRowHeight="12.75"/>
  <cols>
    <col min="1" max="1" width="8.42578125" customWidth="1"/>
    <col min="2" max="2" width="14.28515625" customWidth="1"/>
    <col min="3" max="3" width="14" customWidth="1"/>
    <col min="6" max="6" width="11.5703125" customWidth="1"/>
    <col min="7" max="7" width="12.85546875" customWidth="1"/>
    <col min="9" max="9" width="11" customWidth="1"/>
    <col min="10" max="10" width="10.28515625" customWidth="1"/>
    <col min="11" max="11" width="17.140625" customWidth="1"/>
  </cols>
  <sheetData>
    <row r="1" spans="1:13" ht="17.25">
      <c r="A1" s="22" t="s">
        <v>262</v>
      </c>
    </row>
    <row r="3" spans="1:13" ht="15.75">
      <c r="A3" s="738" t="s">
        <v>263</v>
      </c>
      <c r="B3" s="738"/>
      <c r="C3" s="738"/>
      <c r="D3" s="738"/>
      <c r="E3" s="738"/>
      <c r="F3" s="738"/>
      <c r="G3" s="738"/>
    </row>
    <row r="4" spans="1:13" ht="13.5" thickBot="1"/>
    <row r="5" spans="1:13" ht="39.75" customHeight="1" thickTop="1" thickBot="1">
      <c r="A5" s="212" t="s">
        <v>264</v>
      </c>
      <c r="B5" s="210" t="s">
        <v>103</v>
      </c>
      <c r="C5" s="210" t="s">
        <v>265</v>
      </c>
      <c r="D5" s="210" t="s">
        <v>266</v>
      </c>
      <c r="E5" s="210" t="s">
        <v>267</v>
      </c>
      <c r="F5" s="210" t="s">
        <v>268</v>
      </c>
      <c r="G5" s="211" t="s">
        <v>269</v>
      </c>
      <c r="I5" s="209" t="s">
        <v>933</v>
      </c>
      <c r="J5" s="209" t="s">
        <v>937</v>
      </c>
      <c r="K5" s="209" t="s">
        <v>938</v>
      </c>
    </row>
    <row r="6" spans="1:13" ht="15" customHeight="1" thickTop="1" thickBot="1">
      <c r="A6" s="45">
        <v>2943</v>
      </c>
      <c r="B6" s="50" t="s">
        <v>270</v>
      </c>
      <c r="C6" s="46" t="s">
        <v>271</v>
      </c>
      <c r="D6" s="47">
        <v>37446</v>
      </c>
      <c r="E6" s="46">
        <v>3</v>
      </c>
      <c r="F6" s="48">
        <f>IF(C6="Kamus",1750,IF(C6="Teknik",2250,IF(C6="Analisis",3250,1500)))</f>
        <v>1500</v>
      </c>
      <c r="G6" s="49">
        <f>F6*E6</f>
        <v>4500</v>
      </c>
      <c r="I6" s="16" t="str">
        <f t="shared" ref="I6:I12" si="0">C6</f>
        <v>Fiksi Ilmiah</v>
      </c>
      <c r="J6" s="16">
        <f t="shared" ref="J6:J12" si="1">COUNTIF($C$6:$C$19,I6)</f>
        <v>1</v>
      </c>
      <c r="K6" s="135">
        <f t="shared" ref="K6:K12" si="2">SUMIF($C$6:$C$19,I6,$G$6:$G$19)</f>
        <v>4500</v>
      </c>
    </row>
    <row r="7" spans="1:13" ht="15" customHeight="1" thickBot="1">
      <c r="A7" s="42">
        <v>1020</v>
      </c>
      <c r="B7" s="51" t="s">
        <v>272</v>
      </c>
      <c r="C7" s="43" t="s">
        <v>273</v>
      </c>
      <c r="D7" s="44">
        <v>37448</v>
      </c>
      <c r="E7" s="43">
        <v>2</v>
      </c>
      <c r="F7" s="48">
        <f>IF(C7="Kamus",1750,IF(C7="Teknik",2250,IF(C7="Analisis",3250,1500)))</f>
        <v>3250</v>
      </c>
      <c r="G7" s="49">
        <f>F7*E7</f>
        <v>6500</v>
      </c>
      <c r="I7" s="16" t="str">
        <f t="shared" si="0"/>
        <v>Analisis</v>
      </c>
      <c r="J7" s="16">
        <f t="shared" si="1"/>
        <v>2</v>
      </c>
      <c r="K7" s="135">
        <f t="shared" si="2"/>
        <v>22750</v>
      </c>
      <c r="M7" t="s">
        <v>1264</v>
      </c>
    </row>
    <row r="8" spans="1:13" ht="15" customHeight="1" thickBot="1">
      <c r="A8" s="42">
        <v>1021</v>
      </c>
      <c r="B8" s="51" t="s">
        <v>274</v>
      </c>
      <c r="C8" s="43" t="s">
        <v>275</v>
      </c>
      <c r="D8" s="44">
        <v>37450</v>
      </c>
      <c r="E8" s="43">
        <v>1</v>
      </c>
      <c r="F8" s="48">
        <f>IF(C8="Kamus",1750,IF(C8="Teknik",2250,IF(C8="Analisis",3250,1500)))</f>
        <v>1750</v>
      </c>
      <c r="G8" s="49">
        <f t="shared" ref="G8:G19" si="3">F8*E8</f>
        <v>1750</v>
      </c>
      <c r="I8" s="16" t="str">
        <f t="shared" si="0"/>
        <v>Kamus</v>
      </c>
      <c r="J8" s="16">
        <f t="shared" si="1"/>
        <v>2</v>
      </c>
      <c r="K8" s="135">
        <f t="shared" si="2"/>
        <v>8750</v>
      </c>
    </row>
    <row r="9" spans="1:13" ht="15" customHeight="1" thickBot="1">
      <c r="A9" s="42">
        <v>1023</v>
      </c>
      <c r="B9" s="51" t="s">
        <v>276</v>
      </c>
      <c r="C9" s="43" t="s">
        <v>294</v>
      </c>
      <c r="D9" s="44">
        <v>37452</v>
      </c>
      <c r="E9" s="43">
        <v>4</v>
      </c>
      <c r="F9" s="48">
        <f>IF(C9="Kamus",1750,IF(C9="Teknik",2250,IF(C9="Analisis",3250,1500)))</f>
        <v>1500</v>
      </c>
      <c r="G9" s="49">
        <f t="shared" si="3"/>
        <v>6000</v>
      </c>
      <c r="I9" s="16" t="str">
        <f t="shared" si="0"/>
        <v>Ensiklopedi</v>
      </c>
      <c r="J9" s="16">
        <f t="shared" si="1"/>
        <v>3</v>
      </c>
      <c r="K9" s="135">
        <f t="shared" si="2"/>
        <v>12000</v>
      </c>
    </row>
    <row r="10" spans="1:13" ht="15" customHeight="1" thickBot="1">
      <c r="A10" s="42">
        <v>1024</v>
      </c>
      <c r="B10" s="51" t="s">
        <v>277</v>
      </c>
      <c r="C10" s="43" t="s">
        <v>278</v>
      </c>
      <c r="D10" s="44">
        <v>37454</v>
      </c>
      <c r="E10" s="43">
        <v>5</v>
      </c>
      <c r="F10" s="48">
        <f t="shared" ref="F10:F19" si="4">IF(C10="Kamus",1750,IF(C10="Teknik",2250,IF(C10="Analisis",3250,1500)))</f>
        <v>1500</v>
      </c>
      <c r="G10" s="49">
        <f t="shared" si="3"/>
        <v>7500</v>
      </c>
      <c r="I10" s="16" t="str">
        <f t="shared" si="0"/>
        <v>Cerita</v>
      </c>
      <c r="J10" s="16">
        <f t="shared" si="1"/>
        <v>2</v>
      </c>
      <c r="K10" s="135">
        <f t="shared" si="2"/>
        <v>13500</v>
      </c>
    </row>
    <row r="11" spans="1:13" ht="15" customHeight="1" thickBot="1">
      <c r="A11" s="42">
        <v>1025</v>
      </c>
      <c r="B11" s="51" t="s">
        <v>279</v>
      </c>
      <c r="C11" s="43" t="s">
        <v>280</v>
      </c>
      <c r="D11" s="44">
        <v>37456</v>
      </c>
      <c r="E11" s="43">
        <v>3</v>
      </c>
      <c r="F11" s="48">
        <f t="shared" si="4"/>
        <v>1500</v>
      </c>
      <c r="G11" s="49">
        <f t="shared" si="3"/>
        <v>4500</v>
      </c>
      <c r="I11" s="16" t="str">
        <f t="shared" si="0"/>
        <v>Religi</v>
      </c>
      <c r="J11" s="16">
        <f t="shared" si="1"/>
        <v>2</v>
      </c>
      <c r="K11" s="135">
        <f t="shared" si="2"/>
        <v>13500</v>
      </c>
    </row>
    <row r="12" spans="1:13" ht="15" customHeight="1" thickBot="1">
      <c r="A12" s="42">
        <v>1026</v>
      </c>
      <c r="B12" s="51" t="s">
        <v>281</v>
      </c>
      <c r="C12" s="43" t="s">
        <v>282</v>
      </c>
      <c r="D12" s="44">
        <v>37458</v>
      </c>
      <c r="E12" s="43">
        <v>2</v>
      </c>
      <c r="F12" s="48">
        <f t="shared" si="4"/>
        <v>2250</v>
      </c>
      <c r="G12" s="49">
        <f t="shared" si="3"/>
        <v>4500</v>
      </c>
      <c r="I12" s="16" t="str">
        <f t="shared" si="0"/>
        <v>Teknik</v>
      </c>
      <c r="J12" s="16">
        <f t="shared" si="1"/>
        <v>2</v>
      </c>
      <c r="K12" s="135">
        <f t="shared" si="2"/>
        <v>9000</v>
      </c>
    </row>
    <row r="13" spans="1:13" ht="15" customHeight="1" thickBot="1">
      <c r="A13" s="42">
        <v>1027</v>
      </c>
      <c r="B13" s="51" t="s">
        <v>283</v>
      </c>
      <c r="C13" s="43" t="s">
        <v>294</v>
      </c>
      <c r="D13" s="44">
        <v>37460</v>
      </c>
      <c r="E13" s="43">
        <v>1</v>
      </c>
      <c r="F13" s="48">
        <f t="shared" si="4"/>
        <v>1500</v>
      </c>
      <c r="G13" s="49">
        <f t="shared" si="3"/>
        <v>1500</v>
      </c>
    </row>
    <row r="14" spans="1:13" ht="15" customHeight="1" thickBot="1">
      <c r="A14" s="42">
        <v>1358</v>
      </c>
      <c r="B14" s="51" t="s">
        <v>284</v>
      </c>
      <c r="C14" s="43" t="s">
        <v>278</v>
      </c>
      <c r="D14" s="44">
        <v>37462</v>
      </c>
      <c r="E14" s="43">
        <v>4</v>
      </c>
      <c r="F14" s="48">
        <f t="shared" si="4"/>
        <v>1500</v>
      </c>
      <c r="G14" s="49">
        <f t="shared" si="3"/>
        <v>6000</v>
      </c>
    </row>
    <row r="15" spans="1:13" ht="15" customHeight="1" thickBot="1">
      <c r="A15" s="42">
        <v>1359</v>
      </c>
      <c r="B15" s="51" t="s">
        <v>285</v>
      </c>
      <c r="C15" s="43" t="s">
        <v>280</v>
      </c>
      <c r="D15" s="44">
        <v>37464</v>
      </c>
      <c r="E15" s="43">
        <v>6</v>
      </c>
      <c r="F15" s="48">
        <f t="shared" si="4"/>
        <v>1500</v>
      </c>
      <c r="G15" s="49">
        <f t="shared" si="3"/>
        <v>9000</v>
      </c>
      <c r="I15" s="208" t="s">
        <v>940</v>
      </c>
    </row>
    <row r="16" spans="1:13" ht="15" customHeight="1" thickBot="1">
      <c r="A16" s="42">
        <v>1360</v>
      </c>
      <c r="B16" s="51" t="s">
        <v>286</v>
      </c>
      <c r="C16" s="43" t="s">
        <v>282</v>
      </c>
      <c r="D16" s="44">
        <v>37466</v>
      </c>
      <c r="E16" s="43">
        <v>2</v>
      </c>
      <c r="F16" s="48">
        <f t="shared" si="4"/>
        <v>2250</v>
      </c>
      <c r="G16" s="49">
        <f t="shared" si="3"/>
        <v>4500</v>
      </c>
      <c r="I16" s="208" t="s">
        <v>939</v>
      </c>
    </row>
    <row r="17" spans="1:7" ht="15" customHeight="1" thickBot="1">
      <c r="A17" s="42">
        <v>1361</v>
      </c>
      <c r="B17" s="51" t="s">
        <v>287</v>
      </c>
      <c r="C17" s="43" t="s">
        <v>273</v>
      </c>
      <c r="D17" s="44">
        <v>37468</v>
      </c>
      <c r="E17" s="43">
        <v>5</v>
      </c>
      <c r="F17" s="48">
        <f t="shared" si="4"/>
        <v>3250</v>
      </c>
      <c r="G17" s="49">
        <f t="shared" si="3"/>
        <v>16250</v>
      </c>
    </row>
    <row r="18" spans="1:7" ht="15" customHeight="1" thickBot="1">
      <c r="A18" s="42">
        <v>1363</v>
      </c>
      <c r="B18" s="51" t="s">
        <v>288</v>
      </c>
      <c r="C18" s="43" t="s">
        <v>275</v>
      </c>
      <c r="D18" s="43" t="s">
        <v>289</v>
      </c>
      <c r="E18" s="43">
        <v>4</v>
      </c>
      <c r="F18" s="48">
        <f t="shared" si="4"/>
        <v>1750</v>
      </c>
      <c r="G18" s="49">
        <f t="shared" si="3"/>
        <v>7000</v>
      </c>
    </row>
    <row r="19" spans="1:7" ht="15" customHeight="1" thickBot="1">
      <c r="A19" s="42">
        <v>1364</v>
      </c>
      <c r="B19" s="51" t="s">
        <v>290</v>
      </c>
      <c r="C19" s="43" t="s">
        <v>294</v>
      </c>
      <c r="D19" s="43" t="s">
        <v>291</v>
      </c>
      <c r="E19" s="43">
        <v>3</v>
      </c>
      <c r="F19" s="48">
        <f t="shared" si="4"/>
        <v>1500</v>
      </c>
      <c r="G19" s="49">
        <f t="shared" si="3"/>
        <v>4500</v>
      </c>
    </row>
    <row r="20" spans="1:7" ht="15" customHeight="1" thickBot="1">
      <c r="A20" s="739" t="s">
        <v>292</v>
      </c>
      <c r="B20" s="740"/>
      <c r="C20" s="740"/>
      <c r="D20" s="740"/>
      <c r="E20" s="741"/>
      <c r="F20" s="48"/>
      <c r="G20" s="49">
        <f>SUM(G6:G19)</f>
        <v>84000</v>
      </c>
    </row>
    <row r="21" spans="1:7" ht="15" customHeight="1" thickBot="1">
      <c r="A21" s="742" t="s">
        <v>212</v>
      </c>
      <c r="B21" s="743"/>
      <c r="C21" s="743"/>
      <c r="D21" s="743"/>
      <c r="E21" s="744"/>
      <c r="F21" s="213"/>
      <c r="G21" s="214">
        <f>AVERAGE(G6:G19)</f>
        <v>6000</v>
      </c>
    </row>
    <row r="22" spans="1:7" ht="15" customHeight="1">
      <c r="A22" s="745" t="s">
        <v>293</v>
      </c>
      <c r="B22" s="746"/>
      <c r="C22" s="746"/>
      <c r="D22" s="746"/>
      <c r="E22" s="746"/>
      <c r="F22" s="215"/>
      <c r="G22" s="216">
        <f>MAX(G6:G19)</f>
        <v>16250</v>
      </c>
    </row>
    <row r="23" spans="1:7" ht="13.5" thickBot="1">
      <c r="A23" s="747" t="s">
        <v>941</v>
      </c>
      <c r="B23" s="748"/>
      <c r="C23" s="748"/>
      <c r="D23" s="748"/>
      <c r="E23" s="749"/>
      <c r="F23" s="19"/>
      <c r="G23" s="66"/>
    </row>
    <row r="24" spans="1:7" ht="15">
      <c r="A24" s="40" t="s">
        <v>24</v>
      </c>
      <c r="B24" s="26"/>
      <c r="C24" s="26"/>
      <c r="D24" s="26"/>
      <c r="E24" s="26"/>
      <c r="F24" s="26"/>
      <c r="G24" s="26"/>
    </row>
    <row r="25" spans="1:7" ht="15">
      <c r="A25" s="26" t="s">
        <v>295</v>
      </c>
      <c r="B25" s="26"/>
      <c r="C25" s="26"/>
      <c r="D25" s="26"/>
      <c r="E25" s="26"/>
      <c r="F25" s="26"/>
      <c r="G25" s="26"/>
    </row>
    <row r="26" spans="1:7" ht="15">
      <c r="A26" s="26"/>
      <c r="B26" s="26" t="s">
        <v>296</v>
      </c>
      <c r="C26" s="26"/>
      <c r="D26" s="26"/>
      <c r="E26" s="26"/>
      <c r="F26" s="26"/>
      <c r="G26" s="26"/>
    </row>
    <row r="27" spans="1:7" ht="15">
      <c r="A27" s="26"/>
      <c r="B27" s="26" t="s">
        <v>297</v>
      </c>
      <c r="C27" s="26"/>
      <c r="D27" s="26"/>
      <c r="E27" s="26"/>
      <c r="F27" s="26"/>
      <c r="G27" s="26"/>
    </row>
    <row r="28" spans="1:7" ht="15">
      <c r="A28" s="26"/>
      <c r="B28" s="26" t="s">
        <v>298</v>
      </c>
      <c r="C28" s="26"/>
      <c r="D28" s="26"/>
      <c r="E28" s="26"/>
      <c r="F28" s="26"/>
      <c r="G28" s="26"/>
    </row>
    <row r="29" spans="1:7" ht="15">
      <c r="A29" s="26"/>
      <c r="B29" s="26" t="s">
        <v>299</v>
      </c>
      <c r="C29" s="26"/>
      <c r="D29" s="26"/>
      <c r="E29" s="26"/>
      <c r="F29" s="26"/>
      <c r="G29" s="26"/>
    </row>
    <row r="30" spans="1:7" ht="15">
      <c r="A30" s="26" t="s">
        <v>300</v>
      </c>
      <c r="B30" s="26"/>
      <c r="C30" s="26"/>
      <c r="D30" s="26"/>
      <c r="E30" s="26"/>
      <c r="F30" s="26"/>
      <c r="G30" s="26"/>
    </row>
    <row r="31" spans="1:7">
      <c r="A31" s="57" t="s">
        <v>942</v>
      </c>
    </row>
  </sheetData>
  <mergeCells count="5">
    <mergeCell ref="A3:G3"/>
    <mergeCell ref="A20:E20"/>
    <mergeCell ref="A21:E21"/>
    <mergeCell ref="A22:E22"/>
    <mergeCell ref="A23:E23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37"/>
  <sheetViews>
    <sheetView topLeftCell="A5" workbookViewId="0">
      <selection activeCell="G7" sqref="G7"/>
    </sheetView>
  </sheetViews>
  <sheetFormatPr defaultRowHeight="12.75"/>
  <cols>
    <col min="1" max="1" width="6.5703125" customWidth="1"/>
    <col min="2" max="2" width="15.140625" customWidth="1"/>
    <col min="3" max="3" width="9.28515625" customWidth="1"/>
    <col min="4" max="4" width="10.140625" customWidth="1"/>
    <col min="5" max="5" width="10.28515625" customWidth="1"/>
    <col min="7" max="7" width="10.5703125" customWidth="1"/>
    <col min="8" max="8" width="10.85546875" customWidth="1"/>
  </cols>
  <sheetData>
    <row r="1" spans="1:8" ht="17.25">
      <c r="A1" s="22" t="s">
        <v>301</v>
      </c>
    </row>
    <row r="3" spans="1:8" ht="15.75">
      <c r="A3" s="726" t="s">
        <v>318</v>
      </c>
      <c r="B3" s="726"/>
      <c r="C3" s="726"/>
      <c r="D3" s="726"/>
      <c r="E3" s="726"/>
      <c r="F3" s="726"/>
      <c r="G3" s="726"/>
      <c r="H3" s="726"/>
    </row>
    <row r="4" spans="1:8" ht="15.75">
      <c r="A4" s="726" t="s">
        <v>316</v>
      </c>
      <c r="B4" s="726"/>
      <c r="C4" s="726"/>
      <c r="D4" s="726"/>
      <c r="E4" s="726"/>
      <c r="F4" s="726"/>
      <c r="G4" s="726"/>
      <c r="H4" s="726"/>
    </row>
    <row r="5" spans="1:8" ht="13.5" thickBot="1"/>
    <row r="6" spans="1:8" ht="14.25" thickTop="1" thickBot="1">
      <c r="A6" s="223" t="s">
        <v>302</v>
      </c>
      <c r="B6" s="224" t="s">
        <v>226</v>
      </c>
      <c r="C6" s="224" t="s">
        <v>303</v>
      </c>
      <c r="D6" s="224" t="s">
        <v>240</v>
      </c>
      <c r="E6" s="224" t="s">
        <v>241</v>
      </c>
      <c r="F6" s="224" t="s">
        <v>212</v>
      </c>
      <c r="G6" s="224" t="s">
        <v>304</v>
      </c>
      <c r="H6" s="225" t="s">
        <v>228</v>
      </c>
    </row>
    <row r="7" spans="1:8" ht="13.5" thickBot="1">
      <c r="A7" s="238">
        <v>101</v>
      </c>
      <c r="B7" s="52" t="s">
        <v>308</v>
      </c>
      <c r="C7" s="241"/>
      <c r="D7" s="53"/>
      <c r="E7" s="241">
        <v>80</v>
      </c>
      <c r="F7" s="53">
        <f t="shared" ref="F7:F14" si="0">AVERAGE(C7:E7)</f>
        <v>80</v>
      </c>
      <c r="G7" s="241" t="str">
        <f>IF(F7&lt;=60,"E",IF(F7&lt;=74,"D",IF(F7&lt;=85,"C",IF(F7&lt;=96,"B","A"))))</f>
        <v>C</v>
      </c>
      <c r="H7" s="55" t="str">
        <f>IF(G7="A","ISTIMEWA",IF(G7="B","BAIK",IF(G7="C","CUKUP",IF(G7="D","BURUK","GAGAL"))))</f>
        <v>CUKUP</v>
      </c>
    </row>
    <row r="8" spans="1:8" ht="13.5" thickBot="1">
      <c r="A8" s="239">
        <v>102</v>
      </c>
      <c r="B8" s="32" t="s">
        <v>309</v>
      </c>
      <c r="C8" s="164">
        <v>85</v>
      </c>
      <c r="D8" s="30">
        <v>90</v>
      </c>
      <c r="E8" s="164">
        <v>88</v>
      </c>
      <c r="F8" s="53">
        <f t="shared" si="0"/>
        <v>87.666666666666671</v>
      </c>
      <c r="G8" s="241" t="str">
        <f t="shared" ref="G8:G14" si="1">IF(F8&lt;=60,"E",IF(F8&lt;=74,"D",IF(F8&lt;=85,"C",IF(F8&lt;=96,"B","A"))))</f>
        <v>B</v>
      </c>
      <c r="H8" s="55" t="str">
        <f t="shared" ref="H8:H14" si="2">IF(G8="A","ISTIMEWA",IF(G8="B","BAIK",IF(G8="C","CUKUP",IF(G8="D","BURUK","GAGAL"))))</f>
        <v>BAIK</v>
      </c>
    </row>
    <row r="9" spans="1:8" ht="13.5" thickBot="1">
      <c r="A9" s="239">
        <v>103</v>
      </c>
      <c r="B9" s="32" t="s">
        <v>310</v>
      </c>
      <c r="C9" s="164">
        <v>75</v>
      </c>
      <c r="D9" s="30">
        <v>86</v>
      </c>
      <c r="E9" s="164">
        <v>82</v>
      </c>
      <c r="F9" s="53">
        <f t="shared" si="0"/>
        <v>81</v>
      </c>
      <c r="G9" s="241" t="str">
        <f t="shared" si="1"/>
        <v>C</v>
      </c>
      <c r="H9" s="55" t="str">
        <f t="shared" si="2"/>
        <v>CUKUP</v>
      </c>
    </row>
    <row r="10" spans="1:8" ht="13.5" thickBot="1">
      <c r="A10" s="239">
        <v>104</v>
      </c>
      <c r="B10" s="32" t="s">
        <v>311</v>
      </c>
      <c r="C10" s="164">
        <v>86</v>
      </c>
      <c r="D10" s="30">
        <v>80</v>
      </c>
      <c r="E10" s="164">
        <v>90</v>
      </c>
      <c r="F10" s="53">
        <f t="shared" si="0"/>
        <v>85.333333333333329</v>
      </c>
      <c r="G10" s="241" t="str">
        <f t="shared" si="1"/>
        <v>B</v>
      </c>
      <c r="H10" s="55" t="str">
        <f t="shared" si="2"/>
        <v>BAIK</v>
      </c>
    </row>
    <row r="11" spans="1:8" ht="13.5" thickBot="1">
      <c r="A11" s="239">
        <v>105</v>
      </c>
      <c r="B11" s="32" t="s">
        <v>312</v>
      </c>
      <c r="C11" s="164">
        <v>90</v>
      </c>
      <c r="D11" s="30">
        <v>93</v>
      </c>
      <c r="E11" s="164">
        <v>92</v>
      </c>
      <c r="F11" s="53">
        <f t="shared" si="0"/>
        <v>91.666666666666671</v>
      </c>
      <c r="G11" s="241" t="str">
        <f t="shared" si="1"/>
        <v>B</v>
      </c>
      <c r="H11" s="55" t="str">
        <f t="shared" si="2"/>
        <v>BAIK</v>
      </c>
    </row>
    <row r="12" spans="1:8" ht="13.5" thickBot="1">
      <c r="A12" s="239">
        <v>106</v>
      </c>
      <c r="B12" s="32" t="s">
        <v>313</v>
      </c>
      <c r="C12" s="164">
        <v>60</v>
      </c>
      <c r="D12" s="30">
        <v>62</v>
      </c>
      <c r="E12" s="164">
        <v>55</v>
      </c>
      <c r="F12" s="53">
        <f t="shared" si="0"/>
        <v>59</v>
      </c>
      <c r="G12" s="241" t="str">
        <f t="shared" si="1"/>
        <v>E</v>
      </c>
      <c r="H12" s="55" t="str">
        <f t="shared" si="2"/>
        <v>GAGAL</v>
      </c>
    </row>
    <row r="13" spans="1:8" ht="13.5" thickBot="1">
      <c r="A13" s="239">
        <v>107</v>
      </c>
      <c r="B13" s="32" t="s">
        <v>314</v>
      </c>
      <c r="C13" s="164">
        <v>95</v>
      </c>
      <c r="D13" s="30">
        <v>97</v>
      </c>
      <c r="E13" s="164">
        <v>98</v>
      </c>
      <c r="F13" s="53">
        <f t="shared" si="0"/>
        <v>96.666666666666671</v>
      </c>
      <c r="G13" s="241" t="str">
        <f t="shared" si="1"/>
        <v>A</v>
      </c>
      <c r="H13" s="55" t="str">
        <f t="shared" si="2"/>
        <v>ISTIMEWA</v>
      </c>
    </row>
    <row r="14" spans="1:8" ht="13.5" thickBot="1">
      <c r="A14" s="240">
        <v>108</v>
      </c>
      <c r="B14" s="54" t="s">
        <v>315</v>
      </c>
      <c r="C14" s="165">
        <v>60</v>
      </c>
      <c r="D14" s="31">
        <v>65</v>
      </c>
      <c r="E14" s="165">
        <v>60</v>
      </c>
      <c r="F14" s="31">
        <f t="shared" si="0"/>
        <v>61.666666666666664</v>
      </c>
      <c r="G14" s="241" t="str">
        <f t="shared" si="1"/>
        <v>D</v>
      </c>
      <c r="H14" s="55" t="str">
        <f t="shared" si="2"/>
        <v>BURUK</v>
      </c>
    </row>
    <row r="15" spans="1:8">
      <c r="A15" s="232" t="s">
        <v>305</v>
      </c>
      <c r="B15" s="233"/>
      <c r="C15" s="226"/>
      <c r="D15" s="226"/>
      <c r="E15" s="227"/>
      <c r="F15" s="693">
        <f>COUNT(A7:A14)</f>
        <v>8</v>
      </c>
    </row>
    <row r="16" spans="1:8">
      <c r="A16" s="234" t="s">
        <v>317</v>
      </c>
      <c r="B16" s="235"/>
      <c r="C16" s="228"/>
      <c r="D16" s="228"/>
      <c r="E16" s="229"/>
      <c r="F16" s="693">
        <f>AVERAGE(F7:F14)</f>
        <v>80.375</v>
      </c>
    </row>
    <row r="17" spans="1:6">
      <c r="A17" s="234" t="s">
        <v>306</v>
      </c>
      <c r="B17" s="235"/>
      <c r="C17" s="228"/>
      <c r="D17" s="228"/>
      <c r="E17" s="229"/>
      <c r="F17" s="693">
        <f>MAX(F7:F14)</f>
        <v>96.666666666666671</v>
      </c>
    </row>
    <row r="18" spans="1:6" ht="13.5" thickBot="1">
      <c r="A18" s="236" t="s">
        <v>307</v>
      </c>
      <c r="B18" s="237"/>
      <c r="C18" s="230"/>
      <c r="D18" s="230"/>
      <c r="E18" s="231"/>
      <c r="F18" s="693">
        <f>MIN(F7:F14)</f>
        <v>59</v>
      </c>
    </row>
    <row r="19" spans="1:6" ht="13.5" thickTop="1"/>
    <row r="20" spans="1:6">
      <c r="A20" t="s">
        <v>119</v>
      </c>
    </row>
    <row r="21" spans="1:6">
      <c r="A21" t="s">
        <v>319</v>
      </c>
    </row>
    <row r="22" spans="1:6">
      <c r="A22" t="s">
        <v>320</v>
      </c>
    </row>
    <row r="23" spans="1:6">
      <c r="B23" t="s">
        <v>321</v>
      </c>
    </row>
    <row r="24" spans="1:6">
      <c r="B24" t="s">
        <v>323</v>
      </c>
    </row>
    <row r="25" spans="1:6">
      <c r="B25" t="s">
        <v>322</v>
      </c>
    </row>
    <row r="26" spans="1:6">
      <c r="B26" t="s">
        <v>324</v>
      </c>
    </row>
    <row r="27" spans="1:6">
      <c r="B27" t="s">
        <v>325</v>
      </c>
    </row>
    <row r="28" spans="1:6">
      <c r="A28" t="s">
        <v>326</v>
      </c>
    </row>
    <row r="29" spans="1:6">
      <c r="B29" t="s">
        <v>327</v>
      </c>
    </row>
    <row r="30" spans="1:6">
      <c r="B30" t="s">
        <v>328</v>
      </c>
    </row>
    <row r="31" spans="1:6">
      <c r="B31" t="s">
        <v>329</v>
      </c>
    </row>
    <row r="32" spans="1:6">
      <c r="B32" t="s">
        <v>330</v>
      </c>
    </row>
    <row r="33" spans="1:2">
      <c r="B33" t="s">
        <v>331</v>
      </c>
    </row>
    <row r="34" spans="1:2">
      <c r="A34" t="s">
        <v>332</v>
      </c>
    </row>
    <row r="35" spans="1:2">
      <c r="A35" t="s">
        <v>333</v>
      </c>
    </row>
    <row r="36" spans="1:2">
      <c r="A36" t="s">
        <v>334</v>
      </c>
    </row>
    <row r="37" spans="1:2">
      <c r="A37" t="s">
        <v>335</v>
      </c>
    </row>
  </sheetData>
  <mergeCells count="2">
    <mergeCell ref="A3:H3"/>
    <mergeCell ref="A4:H4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H33"/>
  <sheetViews>
    <sheetView topLeftCell="A9" workbookViewId="0">
      <selection activeCell="G14" sqref="G14"/>
    </sheetView>
  </sheetViews>
  <sheetFormatPr defaultRowHeight="12.75"/>
  <cols>
    <col min="1" max="1" width="12.7109375" customWidth="1"/>
    <col min="2" max="2" width="16.140625" customWidth="1"/>
    <col min="3" max="3" width="12.85546875" customWidth="1"/>
    <col min="4" max="4" width="11" customWidth="1"/>
    <col min="6" max="6" width="12.42578125" customWidth="1"/>
    <col min="7" max="7" width="14.5703125" customWidth="1"/>
    <col min="8" max="8" width="15.28515625" customWidth="1"/>
  </cols>
  <sheetData>
    <row r="1" spans="1:8" ht="17.25">
      <c r="A1" s="77" t="s">
        <v>336</v>
      </c>
    </row>
    <row r="3" spans="1:8" ht="15">
      <c r="A3" s="750" t="s">
        <v>365</v>
      </c>
      <c r="B3" s="750"/>
      <c r="C3" s="750"/>
      <c r="D3" s="750"/>
      <c r="E3" s="750"/>
      <c r="F3" s="750"/>
      <c r="G3" s="750"/>
      <c r="H3" s="750"/>
    </row>
    <row r="4" spans="1:8" ht="15">
      <c r="A4" s="750" t="s">
        <v>366</v>
      </c>
      <c r="B4" s="750"/>
      <c r="C4" s="750"/>
      <c r="D4" s="750"/>
      <c r="E4" s="750"/>
      <c r="F4" s="750"/>
      <c r="G4" s="750"/>
      <c r="H4" s="750"/>
    </row>
    <row r="5" spans="1:8" ht="15">
      <c r="A5" s="750" t="s">
        <v>337</v>
      </c>
      <c r="B5" s="750"/>
      <c r="C5" s="750"/>
      <c r="D5" s="750"/>
      <c r="E5" s="750"/>
      <c r="F5" s="750"/>
      <c r="G5" s="750"/>
      <c r="H5" s="750"/>
    </row>
    <row r="6" spans="1:8" ht="13.5" thickBot="1"/>
    <row r="7" spans="1:8">
      <c r="A7" s="757" t="s">
        <v>343</v>
      </c>
      <c r="B7" s="242" t="s">
        <v>338</v>
      </c>
      <c r="C7" s="242" t="s">
        <v>339</v>
      </c>
      <c r="D7" s="242" t="s">
        <v>340</v>
      </c>
      <c r="E7" s="242" t="s">
        <v>341</v>
      </c>
      <c r="F7" s="242" t="s">
        <v>341</v>
      </c>
      <c r="G7" s="759" t="s">
        <v>347</v>
      </c>
      <c r="H7" s="243" t="s">
        <v>342</v>
      </c>
    </row>
    <row r="8" spans="1:8">
      <c r="A8" s="758"/>
      <c r="B8" s="244" t="s">
        <v>344</v>
      </c>
      <c r="C8" s="244" t="s">
        <v>345</v>
      </c>
      <c r="D8" s="244" t="s">
        <v>344</v>
      </c>
      <c r="E8" s="244" t="s">
        <v>346</v>
      </c>
      <c r="F8" s="244" t="s">
        <v>30</v>
      </c>
      <c r="G8" s="760"/>
      <c r="H8" s="245" t="s">
        <v>348</v>
      </c>
    </row>
    <row r="9" spans="1:8">
      <c r="A9" s="246" t="s">
        <v>361</v>
      </c>
      <c r="B9" s="249" t="s">
        <v>349</v>
      </c>
      <c r="C9" s="249">
        <v>6</v>
      </c>
      <c r="D9" s="251" t="str">
        <f>VLOOKUP(B9,$A$21:$D$27,2,FALSE)</f>
        <v>NOKIA</v>
      </c>
      <c r="E9" s="251">
        <f>VLOOKUP(B9,$A$21:$D$27,3,0)</f>
        <v>1300000</v>
      </c>
      <c r="F9" s="251">
        <f>C9*E9</f>
        <v>7800000</v>
      </c>
      <c r="G9" s="641">
        <f>VLOOKUP(B9,$A$21:$D$27,4,0)</f>
        <v>0.11</v>
      </c>
      <c r="H9" s="642">
        <f>F9-G9</f>
        <v>7799999.8899999997</v>
      </c>
    </row>
    <row r="10" spans="1:8">
      <c r="A10" s="247" t="s">
        <v>362</v>
      </c>
      <c r="B10" s="250" t="s">
        <v>350</v>
      </c>
      <c r="C10" s="250">
        <v>13</v>
      </c>
      <c r="D10" s="167" t="str">
        <f>VLOOKUP(B10,$A$21:$D$27,2,0)</f>
        <v>ERICSON</v>
      </c>
      <c r="E10" s="167">
        <f>VLOOKUP(B10,$A$21:$D$27,3,0)</f>
        <v>1050000</v>
      </c>
      <c r="F10" s="167">
        <f>C10*E10</f>
        <v>13650000</v>
      </c>
      <c r="G10" s="641">
        <f t="shared" ref="G10:G17" si="0">VLOOKUP(B10,$A$21:$D$27,4,0)</f>
        <v>0.1</v>
      </c>
      <c r="H10" s="642">
        <f t="shared" ref="H10:H17" si="1">F10-G10</f>
        <v>13649999.9</v>
      </c>
    </row>
    <row r="11" spans="1:8">
      <c r="A11" s="247" t="s">
        <v>363</v>
      </c>
      <c r="B11" s="250" t="s">
        <v>349</v>
      </c>
      <c r="C11" s="250">
        <v>25</v>
      </c>
      <c r="D11" s="167" t="str">
        <f>VLOOKUP(B11,$A$21:$D$27,2,0)</f>
        <v>NOKIA</v>
      </c>
      <c r="E11" s="167">
        <f>VLOOKUP(B11,$A$21:$D$27,3,0)</f>
        <v>1300000</v>
      </c>
      <c r="F11" s="167">
        <f t="shared" ref="F11:F17" si="2">C11*E11</f>
        <v>32500000</v>
      </c>
      <c r="G11" s="641">
        <f t="shared" si="0"/>
        <v>0.11</v>
      </c>
      <c r="H11" s="642">
        <f t="shared" si="1"/>
        <v>32499999.890000001</v>
      </c>
    </row>
    <row r="12" spans="1:8">
      <c r="A12" s="247" t="s">
        <v>364</v>
      </c>
      <c r="B12" s="250" t="s">
        <v>351</v>
      </c>
      <c r="C12" s="250">
        <v>12</v>
      </c>
      <c r="D12" s="167" t="str">
        <f t="shared" ref="D12:D17" si="3">VLOOKUP(B12,$A$21:$D$27,2,0)</f>
        <v>PHILIPS</v>
      </c>
      <c r="E12" s="167">
        <f t="shared" ref="E12:E17" si="4">VLOOKUP(B12,$A$21:$D$27,3,0)</f>
        <v>650000</v>
      </c>
      <c r="F12" s="167">
        <f t="shared" si="2"/>
        <v>7800000</v>
      </c>
      <c r="G12" s="641">
        <f t="shared" si="0"/>
        <v>0.15</v>
      </c>
      <c r="H12" s="642">
        <f t="shared" si="1"/>
        <v>7799999.8499999996</v>
      </c>
    </row>
    <row r="13" spans="1:8">
      <c r="A13" s="248">
        <v>36685</v>
      </c>
      <c r="B13" s="250" t="s">
        <v>352</v>
      </c>
      <c r="C13" s="250">
        <v>8</v>
      </c>
      <c r="D13" s="167" t="str">
        <f t="shared" si="3"/>
        <v>MOTOROLA</v>
      </c>
      <c r="E13" s="167">
        <f t="shared" si="4"/>
        <v>1250000</v>
      </c>
      <c r="F13" s="167">
        <f t="shared" si="2"/>
        <v>10000000</v>
      </c>
      <c r="G13" s="641">
        <f t="shared" si="0"/>
        <v>0.1</v>
      </c>
      <c r="H13" s="642">
        <f t="shared" si="1"/>
        <v>9999999.9000000004</v>
      </c>
    </row>
    <row r="14" spans="1:8">
      <c r="A14" s="248">
        <v>36688</v>
      </c>
      <c r="B14" s="250" t="s">
        <v>353</v>
      </c>
      <c r="C14" s="250">
        <v>27</v>
      </c>
      <c r="D14" s="167" t="str">
        <f t="shared" si="3"/>
        <v>NEC</v>
      </c>
      <c r="E14" s="167">
        <f t="shared" si="4"/>
        <v>650000</v>
      </c>
      <c r="F14" s="167">
        <f t="shared" si="2"/>
        <v>17550000</v>
      </c>
      <c r="G14" s="641">
        <f t="shared" si="0"/>
        <v>0.12</v>
      </c>
      <c r="H14" s="642">
        <f t="shared" si="1"/>
        <v>17549999.879999999</v>
      </c>
    </row>
    <row r="15" spans="1:8">
      <c r="A15" s="248">
        <v>36692</v>
      </c>
      <c r="B15" s="250" t="s">
        <v>353</v>
      </c>
      <c r="C15" s="250">
        <v>12</v>
      </c>
      <c r="D15" s="167" t="str">
        <f t="shared" si="3"/>
        <v>NEC</v>
      </c>
      <c r="E15" s="167">
        <f t="shared" si="4"/>
        <v>650000</v>
      </c>
      <c r="F15" s="167">
        <f t="shared" si="2"/>
        <v>7800000</v>
      </c>
      <c r="G15" s="641">
        <f t="shared" si="0"/>
        <v>0.12</v>
      </c>
      <c r="H15" s="642">
        <f t="shared" si="1"/>
        <v>7799999.8799999999</v>
      </c>
    </row>
    <row r="16" spans="1:8">
      <c r="A16" s="248">
        <v>36696</v>
      </c>
      <c r="B16" s="250" t="s">
        <v>351</v>
      </c>
      <c r="C16" s="250">
        <v>20</v>
      </c>
      <c r="D16" s="167" t="str">
        <f t="shared" si="3"/>
        <v>PHILIPS</v>
      </c>
      <c r="E16" s="167">
        <f t="shared" si="4"/>
        <v>650000</v>
      </c>
      <c r="F16" s="167">
        <f t="shared" si="2"/>
        <v>13000000</v>
      </c>
      <c r="G16" s="641">
        <f t="shared" si="0"/>
        <v>0.15</v>
      </c>
      <c r="H16" s="642">
        <f t="shared" si="1"/>
        <v>12999999.85</v>
      </c>
    </row>
    <row r="17" spans="1:8">
      <c r="A17" s="248">
        <v>36704</v>
      </c>
      <c r="B17" s="250" t="s">
        <v>352</v>
      </c>
      <c r="C17" s="250">
        <v>25</v>
      </c>
      <c r="D17" s="167" t="str">
        <f t="shared" si="3"/>
        <v>MOTOROLA</v>
      </c>
      <c r="E17" s="167">
        <f t="shared" si="4"/>
        <v>1250000</v>
      </c>
      <c r="F17" s="167">
        <f t="shared" si="2"/>
        <v>31250000</v>
      </c>
      <c r="G17" s="641">
        <f t="shared" si="0"/>
        <v>0.1</v>
      </c>
      <c r="H17" s="642">
        <f t="shared" si="1"/>
        <v>31249999.899999999</v>
      </c>
    </row>
    <row r="18" spans="1:8" ht="13.5" thickBot="1">
      <c r="A18" s="753" t="s">
        <v>371</v>
      </c>
      <c r="B18" s="754"/>
      <c r="C18" s="754"/>
      <c r="D18" s="755"/>
      <c r="E18" s="756"/>
      <c r="F18" s="252">
        <f>SUM(F9:F17)</f>
        <v>141350000</v>
      </c>
      <c r="G18" s="252" t="s">
        <v>118</v>
      </c>
      <c r="H18" s="694">
        <f>SUM(H9:H17)</f>
        <v>141349998.94</v>
      </c>
    </row>
    <row r="19" spans="1:8">
      <c r="F19" s="56"/>
      <c r="G19" s="35"/>
    </row>
    <row r="20" spans="1:8" ht="13.5" thickBot="1">
      <c r="A20" t="s">
        <v>354</v>
      </c>
    </row>
    <row r="21" spans="1:8">
      <c r="A21" s="253" t="s">
        <v>338</v>
      </c>
      <c r="B21" s="254" t="s">
        <v>340</v>
      </c>
      <c r="C21" s="254" t="s">
        <v>355</v>
      </c>
      <c r="D21" s="751" t="s">
        <v>347</v>
      </c>
    </row>
    <row r="22" spans="1:8">
      <c r="A22" s="255" t="s">
        <v>344</v>
      </c>
      <c r="B22" s="256" t="s">
        <v>344</v>
      </c>
      <c r="C22" s="256" t="s">
        <v>346</v>
      </c>
      <c r="D22" s="752"/>
    </row>
    <row r="23" spans="1:8">
      <c r="A23" s="257" t="s">
        <v>352</v>
      </c>
      <c r="B23" s="258" t="s">
        <v>356</v>
      </c>
      <c r="C23" s="259">
        <v>1250000</v>
      </c>
      <c r="D23" s="260">
        <v>0.1</v>
      </c>
    </row>
    <row r="24" spans="1:8">
      <c r="A24" s="257" t="s">
        <v>353</v>
      </c>
      <c r="B24" s="258" t="s">
        <v>357</v>
      </c>
      <c r="C24" s="259">
        <v>650000</v>
      </c>
      <c r="D24" s="260">
        <v>0.12</v>
      </c>
    </row>
    <row r="25" spans="1:8">
      <c r="A25" s="257" t="s">
        <v>349</v>
      </c>
      <c r="B25" s="258" t="s">
        <v>358</v>
      </c>
      <c r="C25" s="259">
        <v>1300000</v>
      </c>
      <c r="D25" s="260">
        <v>0.11</v>
      </c>
    </row>
    <row r="26" spans="1:8">
      <c r="A26" s="257" t="s">
        <v>350</v>
      </c>
      <c r="B26" s="258" t="s">
        <v>359</v>
      </c>
      <c r="C26" s="259">
        <v>1050000</v>
      </c>
      <c r="D26" s="260">
        <v>0.1</v>
      </c>
    </row>
    <row r="27" spans="1:8" ht="13.5" thickBot="1">
      <c r="A27" s="261" t="s">
        <v>351</v>
      </c>
      <c r="B27" s="262" t="s">
        <v>360</v>
      </c>
      <c r="C27" s="263">
        <v>650000</v>
      </c>
      <c r="D27" s="264">
        <v>0.15</v>
      </c>
    </row>
    <row r="29" spans="1:8">
      <c r="A29" s="56" t="s">
        <v>24</v>
      </c>
    </row>
    <row r="30" spans="1:8">
      <c r="A30" s="56" t="s">
        <v>367</v>
      </c>
    </row>
    <row r="31" spans="1:8">
      <c r="A31" t="s">
        <v>368</v>
      </c>
    </row>
    <row r="32" spans="1:8">
      <c r="A32" t="s">
        <v>369</v>
      </c>
    </row>
    <row r="33" spans="1:1">
      <c r="A33" t="s">
        <v>370</v>
      </c>
    </row>
  </sheetData>
  <mergeCells count="7">
    <mergeCell ref="A3:H3"/>
    <mergeCell ref="A4:H4"/>
    <mergeCell ref="A5:H5"/>
    <mergeCell ref="D21:D22"/>
    <mergeCell ref="A18:E18"/>
    <mergeCell ref="A7:A8"/>
    <mergeCell ref="G7:G8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J36"/>
  <sheetViews>
    <sheetView topLeftCell="A5" workbookViewId="0">
      <selection activeCell="G15" sqref="G15"/>
    </sheetView>
  </sheetViews>
  <sheetFormatPr defaultRowHeight="12.75"/>
  <cols>
    <col min="2" max="2" width="19.140625" customWidth="1"/>
    <col min="3" max="3" width="11.28515625" customWidth="1"/>
    <col min="5" max="5" width="13" customWidth="1"/>
    <col min="6" max="6" width="11.28515625" customWidth="1"/>
    <col min="7" max="7" width="16" customWidth="1"/>
    <col min="8" max="8" width="8.5703125" customWidth="1"/>
    <col min="9" max="9" width="12.140625" customWidth="1"/>
  </cols>
  <sheetData>
    <row r="1" spans="1:9" ht="19.5">
      <c r="A1" s="58" t="s">
        <v>372</v>
      </c>
    </row>
    <row r="3" spans="1:9" ht="13.5" thickBot="1">
      <c r="A3" t="s">
        <v>373</v>
      </c>
    </row>
    <row r="4" spans="1:9" ht="25.5">
      <c r="A4" s="265" t="s">
        <v>374</v>
      </c>
      <c r="B4" s="153" t="s">
        <v>375</v>
      </c>
      <c r="C4" s="154" t="s">
        <v>376</v>
      </c>
    </row>
    <row r="5" spans="1:9">
      <c r="A5" s="266" t="s">
        <v>377</v>
      </c>
      <c r="B5" s="267" t="s">
        <v>378</v>
      </c>
      <c r="C5" s="268">
        <v>55000</v>
      </c>
    </row>
    <row r="6" spans="1:9">
      <c r="A6" s="266" t="s">
        <v>379</v>
      </c>
      <c r="B6" s="267" t="s">
        <v>380</v>
      </c>
      <c r="C6" s="268">
        <v>85000</v>
      </c>
    </row>
    <row r="7" spans="1:9">
      <c r="A7" s="266" t="s">
        <v>381</v>
      </c>
      <c r="B7" s="267" t="s">
        <v>382</v>
      </c>
      <c r="C7" s="268">
        <v>65000</v>
      </c>
      <c r="E7" s="14" t="s">
        <v>383</v>
      </c>
    </row>
    <row r="8" spans="1:9" ht="13.5" thickBot="1">
      <c r="A8" s="269" t="s">
        <v>384</v>
      </c>
      <c r="B8" s="270" t="s">
        <v>385</v>
      </c>
      <c r="C8" s="271">
        <v>75000</v>
      </c>
    </row>
    <row r="9" spans="1:9" ht="13.5" thickBot="1">
      <c r="A9" s="6"/>
    </row>
    <row r="10" spans="1:9" ht="26.25" thickBot="1">
      <c r="A10" s="272" t="s">
        <v>386</v>
      </c>
      <c r="B10" s="273" t="s">
        <v>387</v>
      </c>
      <c r="C10" s="273" t="s">
        <v>388</v>
      </c>
      <c r="D10" s="273" t="s">
        <v>374</v>
      </c>
      <c r="E10" s="274" t="s">
        <v>389</v>
      </c>
      <c r="F10" s="274" t="s">
        <v>376</v>
      </c>
      <c r="G10" s="273" t="s">
        <v>202</v>
      </c>
      <c r="H10" s="273" t="s">
        <v>390</v>
      </c>
      <c r="I10" s="275" t="s">
        <v>391</v>
      </c>
    </row>
    <row r="11" spans="1:9">
      <c r="A11" s="276" t="s">
        <v>392</v>
      </c>
      <c r="B11" s="281" t="s">
        <v>393</v>
      </c>
      <c r="C11" s="654" t="str">
        <f>RIGHT(A11,2)</f>
        <v>04</v>
      </c>
      <c r="D11" s="284" t="str">
        <f>LEFT(A11,2)</f>
        <v>B3</v>
      </c>
      <c r="E11" s="284" t="str">
        <f>VLOOKUP(D11,$A$5:$C$8,2,0)</f>
        <v>Personalia</v>
      </c>
      <c r="F11" s="284">
        <f>VLOOKUP(D11,$A$5:$C$8,3,0)</f>
        <v>85000</v>
      </c>
      <c r="G11" s="284">
        <f>IF(OR(C11="03",C11="04"),17%*F11,0)</f>
        <v>14450.000000000002</v>
      </c>
      <c r="H11" s="284">
        <f>7.5%*F11</f>
        <v>6375</v>
      </c>
      <c r="I11" s="285">
        <f>F11+G11-H11</f>
        <v>93075</v>
      </c>
    </row>
    <row r="12" spans="1:9">
      <c r="A12" s="277" t="s">
        <v>394</v>
      </c>
      <c r="B12" s="282" t="s">
        <v>395</v>
      </c>
      <c r="C12" s="654" t="str">
        <f t="shared" ref="C12:C22" si="0">RIGHT(A12,2)</f>
        <v>03</v>
      </c>
      <c r="D12" s="284" t="str">
        <f t="shared" ref="D12:D22" si="1">LEFT(A12,2)</f>
        <v>C4</v>
      </c>
      <c r="E12" s="284" t="str">
        <f t="shared" ref="E12:E22" si="2">VLOOKUP(D12,$A$5:$C$8,2,0)</f>
        <v>Equipment</v>
      </c>
      <c r="F12" s="284">
        <f t="shared" ref="F12:F22" si="3">VLOOKUP(D12,$A$5:$C$8,3,0)</f>
        <v>65000</v>
      </c>
      <c r="G12" s="284">
        <f t="shared" ref="G12:G22" si="4">IF(OR(C12="03",C12="04"),17%*F12,0)</f>
        <v>11050</v>
      </c>
      <c r="H12" s="284">
        <f t="shared" ref="H12:H22" si="5">7.5%*F12</f>
        <v>4875</v>
      </c>
      <c r="I12" s="285">
        <f t="shared" ref="I12:I22" si="6">F12+G12-H12</f>
        <v>71175</v>
      </c>
    </row>
    <row r="13" spans="1:9">
      <c r="A13" s="277" t="s">
        <v>396</v>
      </c>
      <c r="B13" s="282" t="s">
        <v>397</v>
      </c>
      <c r="C13" s="654" t="str">
        <f t="shared" si="0"/>
        <v>04</v>
      </c>
      <c r="D13" s="284" t="str">
        <f t="shared" si="1"/>
        <v>D5</v>
      </c>
      <c r="E13" s="284" t="str">
        <f t="shared" si="2"/>
        <v>Markting</v>
      </c>
      <c r="F13" s="284">
        <f t="shared" si="3"/>
        <v>75000</v>
      </c>
      <c r="G13" s="284">
        <f t="shared" si="4"/>
        <v>12750.000000000002</v>
      </c>
      <c r="H13" s="284">
        <f t="shared" si="5"/>
        <v>5625</v>
      </c>
      <c r="I13" s="285">
        <f t="shared" si="6"/>
        <v>82125</v>
      </c>
    </row>
    <row r="14" spans="1:9">
      <c r="A14" s="277" t="s">
        <v>398</v>
      </c>
      <c r="B14" s="282" t="s">
        <v>399</v>
      </c>
      <c r="C14" s="654" t="str">
        <f t="shared" si="0"/>
        <v>01</v>
      </c>
      <c r="D14" s="284" t="str">
        <f t="shared" si="1"/>
        <v>A2</v>
      </c>
      <c r="E14" s="284" t="str">
        <f t="shared" si="2"/>
        <v>Operasional</v>
      </c>
      <c r="F14" s="284">
        <f t="shared" si="3"/>
        <v>55000</v>
      </c>
      <c r="G14" s="284">
        <f t="shared" si="4"/>
        <v>0</v>
      </c>
      <c r="H14" s="284">
        <f t="shared" si="5"/>
        <v>4125</v>
      </c>
      <c r="I14" s="285">
        <f t="shared" si="6"/>
        <v>50875</v>
      </c>
    </row>
    <row r="15" spans="1:9">
      <c r="A15" s="277" t="s">
        <v>394</v>
      </c>
      <c r="B15" s="282" t="s">
        <v>400</v>
      </c>
      <c r="C15" s="654" t="str">
        <f t="shared" si="0"/>
        <v>03</v>
      </c>
      <c r="D15" s="284" t="str">
        <f t="shared" si="1"/>
        <v>C4</v>
      </c>
      <c r="E15" s="284" t="str">
        <f t="shared" si="2"/>
        <v>Equipment</v>
      </c>
      <c r="F15" s="284">
        <f t="shared" si="3"/>
        <v>65000</v>
      </c>
      <c r="G15" s="284">
        <f t="shared" si="4"/>
        <v>11050</v>
      </c>
      <c r="H15" s="284">
        <f t="shared" si="5"/>
        <v>4875</v>
      </c>
      <c r="I15" s="285">
        <f t="shared" si="6"/>
        <v>71175</v>
      </c>
    </row>
    <row r="16" spans="1:9">
      <c r="A16" s="277" t="s">
        <v>396</v>
      </c>
      <c r="B16" s="282" t="s">
        <v>401</v>
      </c>
      <c r="C16" s="654" t="str">
        <f t="shared" si="0"/>
        <v>04</v>
      </c>
      <c r="D16" s="284" t="str">
        <f t="shared" si="1"/>
        <v>D5</v>
      </c>
      <c r="E16" s="284" t="str">
        <f t="shared" si="2"/>
        <v>Markting</v>
      </c>
      <c r="F16" s="284">
        <f t="shared" si="3"/>
        <v>75000</v>
      </c>
      <c r="G16" s="284">
        <f t="shared" si="4"/>
        <v>12750.000000000002</v>
      </c>
      <c r="H16" s="284">
        <f t="shared" si="5"/>
        <v>5625</v>
      </c>
      <c r="I16" s="285">
        <f t="shared" si="6"/>
        <v>82125</v>
      </c>
    </row>
    <row r="17" spans="1:10">
      <c r="A17" s="277" t="s">
        <v>402</v>
      </c>
      <c r="B17" s="282" t="s">
        <v>403</v>
      </c>
      <c r="C17" s="654" t="str">
        <f t="shared" si="0"/>
        <v>02</v>
      </c>
      <c r="D17" s="284" t="str">
        <f t="shared" si="1"/>
        <v>B3</v>
      </c>
      <c r="E17" s="284" t="str">
        <f t="shared" si="2"/>
        <v>Personalia</v>
      </c>
      <c r="F17" s="284">
        <f t="shared" si="3"/>
        <v>85000</v>
      </c>
      <c r="G17" s="284">
        <f t="shared" si="4"/>
        <v>0</v>
      </c>
      <c r="H17" s="284">
        <f t="shared" si="5"/>
        <v>6375</v>
      </c>
      <c r="I17" s="285">
        <f t="shared" si="6"/>
        <v>78625</v>
      </c>
    </row>
    <row r="18" spans="1:10">
      <c r="A18" s="277" t="s">
        <v>398</v>
      </c>
      <c r="B18" s="282" t="s">
        <v>404</v>
      </c>
      <c r="C18" s="654" t="str">
        <f t="shared" si="0"/>
        <v>01</v>
      </c>
      <c r="D18" s="284" t="str">
        <f t="shared" si="1"/>
        <v>A2</v>
      </c>
      <c r="E18" s="284" t="str">
        <f t="shared" si="2"/>
        <v>Operasional</v>
      </c>
      <c r="F18" s="284">
        <f t="shared" si="3"/>
        <v>55000</v>
      </c>
      <c r="G18" s="284">
        <f t="shared" si="4"/>
        <v>0</v>
      </c>
      <c r="H18" s="284">
        <f t="shared" si="5"/>
        <v>4125</v>
      </c>
      <c r="I18" s="285">
        <f t="shared" si="6"/>
        <v>50875</v>
      </c>
    </row>
    <row r="19" spans="1:10">
      <c r="A19" s="277" t="s">
        <v>394</v>
      </c>
      <c r="B19" s="282" t="s">
        <v>405</v>
      </c>
      <c r="C19" s="654" t="str">
        <f t="shared" si="0"/>
        <v>03</v>
      </c>
      <c r="D19" s="284" t="str">
        <f t="shared" si="1"/>
        <v>C4</v>
      </c>
      <c r="E19" s="284" t="str">
        <f t="shared" si="2"/>
        <v>Equipment</v>
      </c>
      <c r="F19" s="284">
        <f t="shared" si="3"/>
        <v>65000</v>
      </c>
      <c r="G19" s="284">
        <f t="shared" si="4"/>
        <v>11050</v>
      </c>
      <c r="H19" s="284">
        <f t="shared" si="5"/>
        <v>4875</v>
      </c>
      <c r="I19" s="285">
        <f t="shared" si="6"/>
        <v>71175</v>
      </c>
    </row>
    <row r="20" spans="1:10">
      <c r="A20" s="277" t="s">
        <v>398</v>
      </c>
      <c r="B20" s="282" t="s">
        <v>406</v>
      </c>
      <c r="C20" s="654" t="str">
        <f t="shared" si="0"/>
        <v>01</v>
      </c>
      <c r="D20" s="284" t="str">
        <f t="shared" si="1"/>
        <v>A2</v>
      </c>
      <c r="E20" s="284" t="str">
        <f t="shared" si="2"/>
        <v>Operasional</v>
      </c>
      <c r="F20" s="284">
        <f t="shared" si="3"/>
        <v>55000</v>
      </c>
      <c r="G20" s="284">
        <f t="shared" si="4"/>
        <v>0</v>
      </c>
      <c r="H20" s="284">
        <f t="shared" si="5"/>
        <v>4125</v>
      </c>
      <c r="I20" s="285">
        <f t="shared" si="6"/>
        <v>50875</v>
      </c>
    </row>
    <row r="21" spans="1:10">
      <c r="A21" s="277" t="s">
        <v>394</v>
      </c>
      <c r="B21" s="282" t="s">
        <v>407</v>
      </c>
      <c r="C21" s="654" t="str">
        <f t="shared" si="0"/>
        <v>03</v>
      </c>
      <c r="D21" s="284" t="str">
        <f t="shared" si="1"/>
        <v>C4</v>
      </c>
      <c r="E21" s="284" t="str">
        <f t="shared" si="2"/>
        <v>Equipment</v>
      </c>
      <c r="F21" s="284">
        <f t="shared" si="3"/>
        <v>65000</v>
      </c>
      <c r="G21" s="284">
        <f t="shared" si="4"/>
        <v>11050</v>
      </c>
      <c r="H21" s="284">
        <f t="shared" si="5"/>
        <v>4875</v>
      </c>
      <c r="I21" s="285">
        <f t="shared" si="6"/>
        <v>71175</v>
      </c>
    </row>
    <row r="22" spans="1:10" ht="13.5" thickBot="1">
      <c r="A22" s="278" t="s">
        <v>396</v>
      </c>
      <c r="B22" s="283" t="s">
        <v>408</v>
      </c>
      <c r="C22" s="654" t="str">
        <f t="shared" si="0"/>
        <v>04</v>
      </c>
      <c r="D22" s="284" t="str">
        <f t="shared" si="1"/>
        <v>D5</v>
      </c>
      <c r="E22" s="284" t="str">
        <f t="shared" si="2"/>
        <v>Markting</v>
      </c>
      <c r="F22" s="284">
        <f t="shared" si="3"/>
        <v>75000</v>
      </c>
      <c r="G22" s="284">
        <f t="shared" si="4"/>
        <v>12750.000000000002</v>
      </c>
      <c r="H22" s="284">
        <f t="shared" si="5"/>
        <v>5625</v>
      </c>
      <c r="I22" s="285">
        <f t="shared" si="6"/>
        <v>82125</v>
      </c>
    </row>
    <row r="23" spans="1:10">
      <c r="A23" s="75"/>
      <c r="B23" s="279" t="s">
        <v>292</v>
      </c>
      <c r="I23" s="695">
        <f>SUM(I11:I22)</f>
        <v>855400</v>
      </c>
    </row>
    <row r="24" spans="1:10">
      <c r="A24" s="75"/>
      <c r="B24" s="280" t="s">
        <v>409</v>
      </c>
      <c r="I24" s="695">
        <f>AVERAGE(I11:I22)</f>
        <v>71283.333333333328</v>
      </c>
    </row>
    <row r="25" spans="1:10" ht="13.5" thickBot="1">
      <c r="A25" s="76"/>
      <c r="B25" s="286" t="s">
        <v>410</v>
      </c>
      <c r="I25">
        <f>MAX(I11:I22)</f>
        <v>93075</v>
      </c>
    </row>
    <row r="27" spans="1:10" ht="14.25">
      <c r="A27" s="57" t="s">
        <v>411</v>
      </c>
      <c r="B27" s="57"/>
      <c r="C27" s="38"/>
      <c r="D27" s="38"/>
      <c r="E27" s="38"/>
      <c r="F27" s="38"/>
      <c r="G27" s="38"/>
      <c r="H27" s="38"/>
      <c r="I27" s="38"/>
      <c r="J27" s="38"/>
    </row>
    <row r="28" spans="1:10" ht="14.25">
      <c r="A28" s="57" t="s">
        <v>415</v>
      </c>
      <c r="B28" s="57"/>
      <c r="C28" s="38"/>
      <c r="D28" s="38"/>
      <c r="E28" s="38"/>
      <c r="F28" s="38"/>
      <c r="G28" s="38"/>
      <c r="H28" s="38"/>
      <c r="I28" s="38"/>
      <c r="J28" s="38"/>
    </row>
    <row r="29" spans="1:10" ht="14.25">
      <c r="A29" s="57" t="s">
        <v>416</v>
      </c>
      <c r="B29" s="57"/>
      <c r="C29" s="38"/>
      <c r="D29" s="38"/>
      <c r="E29" s="38"/>
      <c r="F29" s="38"/>
      <c r="G29" s="38"/>
      <c r="H29" s="38"/>
      <c r="I29" s="38"/>
      <c r="J29" s="38"/>
    </row>
    <row r="30" spans="1:10" ht="14.25">
      <c r="A30" s="57" t="s">
        <v>414</v>
      </c>
      <c r="B30" s="57"/>
      <c r="C30" s="38"/>
      <c r="D30" s="38"/>
      <c r="E30" s="38"/>
      <c r="F30" s="38"/>
      <c r="G30" s="38"/>
      <c r="H30" s="38"/>
      <c r="I30" s="38"/>
      <c r="J30" s="38"/>
    </row>
    <row r="31" spans="1:10" ht="14.25">
      <c r="A31" s="57" t="s">
        <v>412</v>
      </c>
      <c r="B31" s="57"/>
      <c r="C31" s="38"/>
      <c r="D31" s="38"/>
      <c r="E31" s="38"/>
      <c r="F31" s="38"/>
      <c r="G31" s="38"/>
      <c r="H31" s="38"/>
      <c r="I31" s="38"/>
      <c r="J31" s="38"/>
    </row>
    <row r="32" spans="1:10" ht="14.25">
      <c r="A32" s="57" t="s">
        <v>417</v>
      </c>
      <c r="B32" s="57"/>
      <c r="C32" s="38"/>
      <c r="D32" s="38"/>
      <c r="E32" s="38"/>
      <c r="F32" s="38"/>
      <c r="G32" s="38"/>
      <c r="H32" s="38"/>
      <c r="I32" s="38"/>
      <c r="J32" s="38"/>
    </row>
    <row r="33" spans="1:10" ht="14.25">
      <c r="A33" s="57" t="s">
        <v>413</v>
      </c>
      <c r="B33" s="57"/>
      <c r="C33" s="38"/>
      <c r="D33" s="38"/>
      <c r="E33" s="38"/>
      <c r="F33" s="38"/>
      <c r="G33" s="38"/>
      <c r="H33" s="38"/>
      <c r="I33" s="38"/>
      <c r="J33" s="38"/>
    </row>
    <row r="34" spans="1:10" ht="14.25">
      <c r="A34" s="57" t="s">
        <v>418</v>
      </c>
      <c r="B34" s="57"/>
      <c r="C34" s="38"/>
      <c r="D34" s="38"/>
      <c r="E34" s="38"/>
      <c r="F34" s="38"/>
      <c r="G34" s="38"/>
      <c r="H34" s="38"/>
      <c r="I34" s="38"/>
      <c r="J34" s="38"/>
    </row>
    <row r="35" spans="1:10" ht="14.25">
      <c r="A35" s="57" t="s">
        <v>419</v>
      </c>
      <c r="B35" s="57"/>
      <c r="C35" s="38"/>
      <c r="D35" s="38"/>
      <c r="E35" s="38"/>
      <c r="F35" s="38"/>
      <c r="G35" s="38"/>
      <c r="H35" s="38"/>
      <c r="I35" s="38"/>
      <c r="J35" s="38"/>
    </row>
    <row r="36" spans="1:10">
      <c r="A36" s="57" t="s">
        <v>420</v>
      </c>
    </row>
  </sheetData>
  <phoneticPr fontId="5" type="noConversion"/>
  <pageMargins left="0.27" right="0.26" top="1" bottom="1" header="0.5" footer="0.5"/>
  <pageSetup orientation="portrait" horizontalDpi="4294967293" verticalDpi="4294967293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0"/>
  <sheetViews>
    <sheetView topLeftCell="A13" workbookViewId="0">
      <selection activeCell="C18" sqref="C18"/>
    </sheetView>
  </sheetViews>
  <sheetFormatPr defaultRowHeight="12.75"/>
  <cols>
    <col min="1" max="1" width="4.42578125" customWidth="1"/>
    <col min="2" max="2" width="6" customWidth="1"/>
    <col min="5" max="5" width="8.140625" customWidth="1"/>
    <col min="6" max="6" width="15.28515625" customWidth="1"/>
    <col min="7" max="7" width="12.5703125" customWidth="1"/>
    <col min="9" max="9" width="13.42578125" customWidth="1"/>
    <col min="10" max="10" width="14.85546875" customWidth="1"/>
    <col min="11" max="11" width="11.85546875" customWidth="1"/>
    <col min="12" max="12" width="15.140625" customWidth="1"/>
  </cols>
  <sheetData>
    <row r="1" spans="1:12" ht="17.25">
      <c r="A1" s="22" t="s">
        <v>421</v>
      </c>
    </row>
    <row r="3" spans="1:12" ht="20.25">
      <c r="A3" s="761" t="s">
        <v>422</v>
      </c>
      <c r="B3" s="761"/>
      <c r="C3" s="761"/>
      <c r="D3" s="761"/>
      <c r="E3" s="761"/>
      <c r="F3" s="761"/>
      <c r="G3" s="761"/>
      <c r="H3" s="761"/>
      <c r="I3" s="761"/>
      <c r="J3" s="761"/>
      <c r="K3" s="761"/>
      <c r="L3" s="761"/>
    </row>
    <row r="4" spans="1:12">
      <c r="A4" s="697" t="s">
        <v>423</v>
      </c>
      <c r="B4" s="697"/>
      <c r="C4" s="697"/>
      <c r="D4" s="697"/>
      <c r="E4" s="697"/>
      <c r="F4" s="697"/>
      <c r="G4" s="697"/>
      <c r="H4" s="697"/>
      <c r="I4" s="697"/>
      <c r="J4" s="697"/>
      <c r="K4" s="697"/>
      <c r="L4" s="697"/>
    </row>
    <row r="5" spans="1:12" ht="13.5" thickBot="1"/>
    <row r="6" spans="1:12" ht="25.5">
      <c r="A6" s="92" t="s">
        <v>2</v>
      </c>
      <c r="B6" s="93" t="s">
        <v>424</v>
      </c>
      <c r="C6" s="93" t="s">
        <v>425</v>
      </c>
      <c r="D6" s="93" t="s">
        <v>426</v>
      </c>
      <c r="E6" s="93" t="s">
        <v>427</v>
      </c>
      <c r="F6" s="93" t="s">
        <v>428</v>
      </c>
      <c r="G6" s="93" t="s">
        <v>446</v>
      </c>
      <c r="H6" s="93" t="s">
        <v>429</v>
      </c>
      <c r="I6" s="93" t="s">
        <v>430</v>
      </c>
      <c r="J6" s="93" t="s">
        <v>431</v>
      </c>
      <c r="K6" s="93" t="s">
        <v>432</v>
      </c>
      <c r="L6" s="94" t="s">
        <v>433</v>
      </c>
    </row>
    <row r="7" spans="1:12">
      <c r="A7" s="287">
        <v>1</v>
      </c>
      <c r="B7" s="16" t="s">
        <v>434</v>
      </c>
      <c r="C7" s="168" t="str">
        <f>VLOOKUP(B7,$B$25:$D$28,2,0)</f>
        <v>Aspirin</v>
      </c>
      <c r="D7" s="30">
        <f>VLOOKUP(B7,$B$25:$D$28,3,0)</f>
        <v>12500</v>
      </c>
      <c r="E7" s="168">
        <v>45</v>
      </c>
      <c r="F7" s="644">
        <f>D7*E7</f>
        <v>562500</v>
      </c>
      <c r="G7" s="168" t="s">
        <v>435</v>
      </c>
      <c r="H7" s="16" t="s">
        <v>210</v>
      </c>
      <c r="I7" s="645">
        <f>IF(G7="Tunai",15%*F7,0)</f>
        <v>84375</v>
      </c>
      <c r="J7" s="643">
        <f>IF(F7&gt;500000,10%*F7,0)</f>
        <v>56250</v>
      </c>
      <c r="K7" s="645">
        <f>5%*F7</f>
        <v>28125</v>
      </c>
      <c r="L7" s="646">
        <f>F7+K7-I7-J7</f>
        <v>450000</v>
      </c>
    </row>
    <row r="8" spans="1:12">
      <c r="A8" s="287">
        <v>2</v>
      </c>
      <c r="B8" s="16" t="s">
        <v>436</v>
      </c>
      <c r="C8" s="168" t="str">
        <f>VLOOKUP(B8,$B$25:$D$28,2,0)</f>
        <v>Decolsin</v>
      </c>
      <c r="D8" s="30">
        <f>VLOOKUP(B8,$B$25:$D$28,3,0)</f>
        <v>14550</v>
      </c>
      <c r="E8" s="168">
        <v>110</v>
      </c>
      <c r="F8" s="644">
        <f>D8*E8</f>
        <v>1600500</v>
      </c>
      <c r="G8" s="168" t="s">
        <v>437</v>
      </c>
      <c r="H8" s="16" t="s">
        <v>438</v>
      </c>
      <c r="I8" s="645">
        <f>IF(G8="Tunai",15%*F8,0)</f>
        <v>0</v>
      </c>
      <c r="J8" s="643">
        <f t="shared" ref="J8:J21" si="0">IF(F8&gt;500000,10%*F8,0)</f>
        <v>160050</v>
      </c>
      <c r="K8" s="645">
        <f t="shared" ref="K8:K21" si="1">5%*F8</f>
        <v>80025</v>
      </c>
      <c r="L8" s="646">
        <f t="shared" ref="L8:L21" si="2">F8+K8-I8-J8</f>
        <v>1520475</v>
      </c>
    </row>
    <row r="9" spans="1:12">
      <c r="A9" s="287">
        <v>3</v>
      </c>
      <c r="B9" s="16" t="s">
        <v>436</v>
      </c>
      <c r="C9" s="168" t="str">
        <f>VLOOKUP(B9,$B$25:$D$28,2,0)</f>
        <v>Decolsin</v>
      </c>
      <c r="D9" s="30">
        <f>VLOOKUP(B9,$B$25:$D$28,3,0)</f>
        <v>14550</v>
      </c>
      <c r="E9" s="168">
        <v>25</v>
      </c>
      <c r="F9" s="644">
        <f>D9*E9</f>
        <v>363750</v>
      </c>
      <c r="G9" s="168" t="s">
        <v>435</v>
      </c>
      <c r="H9" s="16" t="s">
        <v>439</v>
      </c>
      <c r="I9" s="645">
        <f>IF(G9="Tunai",15%*F9,0)</f>
        <v>54562.5</v>
      </c>
      <c r="J9" s="643">
        <f t="shared" si="0"/>
        <v>0</v>
      </c>
      <c r="K9" s="645">
        <f t="shared" si="1"/>
        <v>18187.5</v>
      </c>
      <c r="L9" s="646">
        <f t="shared" si="2"/>
        <v>327375</v>
      </c>
    </row>
    <row r="10" spans="1:12">
      <c r="A10" s="287">
        <v>4</v>
      </c>
      <c r="B10" s="16" t="s">
        <v>440</v>
      </c>
      <c r="C10" s="168" t="str">
        <f t="shared" ref="C10:C21" si="3">VLOOKUP(B10,$B$25:$D$28,2,0)</f>
        <v>Balsem</v>
      </c>
      <c r="D10" s="30">
        <f t="shared" ref="D10:D21" si="4">VLOOKUP(B10,$B$25:$D$28,3,0)</f>
        <v>10000</v>
      </c>
      <c r="E10" s="168">
        <v>56</v>
      </c>
      <c r="F10" s="644">
        <f t="shared" ref="F10:F21" si="5">D10*E10</f>
        <v>560000</v>
      </c>
      <c r="G10" s="168" t="s">
        <v>437</v>
      </c>
      <c r="H10" s="16" t="s">
        <v>439</v>
      </c>
      <c r="I10" s="645">
        <f t="shared" ref="I10:I21" si="6">IF(G10="Tunai",15%*F10,0)</f>
        <v>0</v>
      </c>
      <c r="J10" s="643">
        <f t="shared" si="0"/>
        <v>56000</v>
      </c>
      <c r="K10" s="645">
        <f t="shared" si="1"/>
        <v>28000</v>
      </c>
      <c r="L10" s="646">
        <f t="shared" si="2"/>
        <v>532000</v>
      </c>
    </row>
    <row r="11" spans="1:12">
      <c r="A11" s="287">
        <v>5</v>
      </c>
      <c r="B11" s="16" t="s">
        <v>440</v>
      </c>
      <c r="C11" s="168" t="str">
        <f t="shared" si="3"/>
        <v>Balsem</v>
      </c>
      <c r="D11" s="30">
        <f t="shared" si="4"/>
        <v>10000</v>
      </c>
      <c r="E11" s="168">
        <v>68</v>
      </c>
      <c r="F11" s="644">
        <f t="shared" si="5"/>
        <v>680000</v>
      </c>
      <c r="G11" s="168" t="s">
        <v>437</v>
      </c>
      <c r="H11" s="16" t="s">
        <v>438</v>
      </c>
      <c r="I11" s="645">
        <f t="shared" si="6"/>
        <v>0</v>
      </c>
      <c r="J11" s="643">
        <f t="shared" si="0"/>
        <v>68000</v>
      </c>
      <c r="K11" s="645">
        <f t="shared" si="1"/>
        <v>34000</v>
      </c>
      <c r="L11" s="646">
        <f t="shared" si="2"/>
        <v>646000</v>
      </c>
    </row>
    <row r="12" spans="1:12">
      <c r="A12" s="287">
        <v>6</v>
      </c>
      <c r="B12" s="16" t="s">
        <v>434</v>
      </c>
      <c r="C12" s="168" t="str">
        <f t="shared" si="3"/>
        <v>Aspirin</v>
      </c>
      <c r="D12" s="30">
        <f t="shared" si="4"/>
        <v>12500</v>
      </c>
      <c r="E12" s="168">
        <v>88</v>
      </c>
      <c r="F12" s="644">
        <f t="shared" si="5"/>
        <v>1100000</v>
      </c>
      <c r="G12" s="168" t="s">
        <v>437</v>
      </c>
      <c r="H12" s="16" t="s">
        <v>441</v>
      </c>
      <c r="I12" s="645">
        <f t="shared" si="6"/>
        <v>0</v>
      </c>
      <c r="J12" s="643">
        <f t="shared" si="0"/>
        <v>110000</v>
      </c>
      <c r="K12" s="645">
        <f t="shared" si="1"/>
        <v>55000</v>
      </c>
      <c r="L12" s="646">
        <f t="shared" si="2"/>
        <v>1045000</v>
      </c>
    </row>
    <row r="13" spans="1:12">
      <c r="A13" s="287">
        <v>7</v>
      </c>
      <c r="B13" s="16" t="s">
        <v>440</v>
      </c>
      <c r="C13" s="168" t="str">
        <f t="shared" si="3"/>
        <v>Balsem</v>
      </c>
      <c r="D13" s="30">
        <f t="shared" si="4"/>
        <v>10000</v>
      </c>
      <c r="E13" s="168">
        <v>75</v>
      </c>
      <c r="F13" s="644">
        <f t="shared" si="5"/>
        <v>750000</v>
      </c>
      <c r="G13" s="168" t="s">
        <v>435</v>
      </c>
      <c r="H13" s="16" t="s">
        <v>441</v>
      </c>
      <c r="I13" s="645">
        <f t="shared" si="6"/>
        <v>112500</v>
      </c>
      <c r="J13" s="643">
        <f t="shared" si="0"/>
        <v>75000</v>
      </c>
      <c r="K13" s="645">
        <f t="shared" si="1"/>
        <v>37500</v>
      </c>
      <c r="L13" s="646">
        <f t="shared" si="2"/>
        <v>600000</v>
      </c>
    </row>
    <row r="14" spans="1:12">
      <c r="A14" s="287">
        <v>8</v>
      </c>
      <c r="B14" s="16" t="s">
        <v>434</v>
      </c>
      <c r="C14" s="168" t="str">
        <f t="shared" si="3"/>
        <v>Aspirin</v>
      </c>
      <c r="D14" s="30">
        <f t="shared" si="4"/>
        <v>12500</v>
      </c>
      <c r="E14" s="168">
        <v>35</v>
      </c>
      <c r="F14" s="644">
        <f t="shared" si="5"/>
        <v>437500</v>
      </c>
      <c r="G14" s="168" t="s">
        <v>435</v>
      </c>
      <c r="H14" s="16" t="s">
        <v>439</v>
      </c>
      <c r="I14" s="645">
        <f t="shared" si="6"/>
        <v>65625</v>
      </c>
      <c r="J14" s="643">
        <f t="shared" si="0"/>
        <v>0</v>
      </c>
      <c r="K14" s="645">
        <f t="shared" si="1"/>
        <v>21875</v>
      </c>
      <c r="L14" s="646">
        <f t="shared" si="2"/>
        <v>393750</v>
      </c>
    </row>
    <row r="15" spans="1:12">
      <c r="A15" s="287">
        <v>9</v>
      </c>
      <c r="B15" s="16" t="s">
        <v>434</v>
      </c>
      <c r="C15" s="168" t="str">
        <f t="shared" si="3"/>
        <v>Aspirin</v>
      </c>
      <c r="D15" s="30">
        <f t="shared" si="4"/>
        <v>12500</v>
      </c>
      <c r="E15" s="168">
        <v>12</v>
      </c>
      <c r="F15" s="644">
        <f t="shared" si="5"/>
        <v>150000</v>
      </c>
      <c r="G15" s="168" t="s">
        <v>435</v>
      </c>
      <c r="H15" s="16" t="s">
        <v>210</v>
      </c>
      <c r="I15" s="645">
        <f t="shared" si="6"/>
        <v>22500</v>
      </c>
      <c r="J15" s="643">
        <f t="shared" si="0"/>
        <v>0</v>
      </c>
      <c r="K15" s="645">
        <f t="shared" si="1"/>
        <v>7500</v>
      </c>
      <c r="L15" s="646">
        <f t="shared" si="2"/>
        <v>135000</v>
      </c>
    </row>
    <row r="16" spans="1:12">
      <c r="A16" s="287">
        <v>10</v>
      </c>
      <c r="B16" s="16" t="s">
        <v>436</v>
      </c>
      <c r="C16" s="168" t="str">
        <f t="shared" si="3"/>
        <v>Decolsin</v>
      </c>
      <c r="D16" s="30">
        <f t="shared" si="4"/>
        <v>14550</v>
      </c>
      <c r="E16" s="168">
        <v>66</v>
      </c>
      <c r="F16" s="644">
        <f t="shared" si="5"/>
        <v>960300</v>
      </c>
      <c r="G16" s="168" t="s">
        <v>435</v>
      </c>
      <c r="H16" s="16" t="s">
        <v>438</v>
      </c>
      <c r="I16" s="645">
        <f t="shared" si="6"/>
        <v>144045</v>
      </c>
      <c r="J16" s="643">
        <f t="shared" si="0"/>
        <v>96030</v>
      </c>
      <c r="K16" s="645">
        <f t="shared" si="1"/>
        <v>48015</v>
      </c>
      <c r="L16" s="646">
        <f t="shared" si="2"/>
        <v>768240</v>
      </c>
    </row>
    <row r="17" spans="1:12">
      <c r="A17" s="287">
        <v>11</v>
      </c>
      <c r="B17" s="16" t="s">
        <v>440</v>
      </c>
      <c r="C17" s="168" t="str">
        <f t="shared" si="3"/>
        <v>Balsem</v>
      </c>
      <c r="D17" s="30">
        <f t="shared" si="4"/>
        <v>10000</v>
      </c>
      <c r="E17" s="168">
        <v>69</v>
      </c>
      <c r="F17" s="644">
        <f t="shared" si="5"/>
        <v>690000</v>
      </c>
      <c r="G17" s="168" t="s">
        <v>437</v>
      </c>
      <c r="H17" s="16" t="s">
        <v>439</v>
      </c>
      <c r="I17" s="645">
        <f t="shared" si="6"/>
        <v>0</v>
      </c>
      <c r="J17" s="643">
        <f t="shared" si="0"/>
        <v>69000</v>
      </c>
      <c r="K17" s="645">
        <f t="shared" si="1"/>
        <v>34500</v>
      </c>
      <c r="L17" s="646">
        <f t="shared" si="2"/>
        <v>655500</v>
      </c>
    </row>
    <row r="18" spans="1:12">
      <c r="A18" s="287">
        <v>12</v>
      </c>
      <c r="B18" s="16" t="s">
        <v>440</v>
      </c>
      <c r="C18" s="168" t="str">
        <f t="shared" si="3"/>
        <v>Balsem</v>
      </c>
      <c r="D18" s="30">
        <f t="shared" si="4"/>
        <v>10000</v>
      </c>
      <c r="E18" s="168">
        <v>125</v>
      </c>
      <c r="F18" s="644">
        <f t="shared" si="5"/>
        <v>1250000</v>
      </c>
      <c r="G18" s="168" t="s">
        <v>435</v>
      </c>
      <c r="H18" s="16" t="s">
        <v>438</v>
      </c>
      <c r="I18" s="645">
        <f t="shared" si="6"/>
        <v>187500</v>
      </c>
      <c r="J18" s="643">
        <f t="shared" si="0"/>
        <v>125000</v>
      </c>
      <c r="K18" s="645">
        <f t="shared" si="1"/>
        <v>62500</v>
      </c>
      <c r="L18" s="646">
        <f t="shared" si="2"/>
        <v>1000000</v>
      </c>
    </row>
    <row r="19" spans="1:12">
      <c r="A19" s="287">
        <v>13</v>
      </c>
      <c r="B19" s="16" t="s">
        <v>434</v>
      </c>
      <c r="C19" s="168" t="str">
        <f t="shared" si="3"/>
        <v>Aspirin</v>
      </c>
      <c r="D19" s="30">
        <f t="shared" si="4"/>
        <v>12500</v>
      </c>
      <c r="E19" s="168">
        <v>150</v>
      </c>
      <c r="F19" s="644">
        <f t="shared" si="5"/>
        <v>1875000</v>
      </c>
      <c r="G19" s="168" t="s">
        <v>437</v>
      </c>
      <c r="H19" s="16" t="s">
        <v>210</v>
      </c>
      <c r="I19" s="645">
        <f t="shared" si="6"/>
        <v>0</v>
      </c>
      <c r="J19" s="643">
        <f t="shared" si="0"/>
        <v>187500</v>
      </c>
      <c r="K19" s="645">
        <f t="shared" si="1"/>
        <v>93750</v>
      </c>
      <c r="L19" s="646">
        <f t="shared" si="2"/>
        <v>1781250</v>
      </c>
    </row>
    <row r="20" spans="1:12">
      <c r="A20" s="287">
        <v>14</v>
      </c>
      <c r="B20" s="16" t="s">
        <v>434</v>
      </c>
      <c r="C20" s="168" t="str">
        <f t="shared" si="3"/>
        <v>Aspirin</v>
      </c>
      <c r="D20" s="30">
        <f t="shared" si="4"/>
        <v>12500</v>
      </c>
      <c r="E20" s="168">
        <v>64</v>
      </c>
      <c r="F20" s="644">
        <f t="shared" si="5"/>
        <v>800000</v>
      </c>
      <c r="G20" s="168" t="s">
        <v>437</v>
      </c>
      <c r="H20" s="16" t="s">
        <v>438</v>
      </c>
      <c r="I20" s="645">
        <f t="shared" si="6"/>
        <v>0</v>
      </c>
      <c r="J20" s="643">
        <f t="shared" si="0"/>
        <v>80000</v>
      </c>
      <c r="K20" s="645">
        <f t="shared" si="1"/>
        <v>40000</v>
      </c>
      <c r="L20" s="646">
        <f t="shared" si="2"/>
        <v>760000</v>
      </c>
    </row>
    <row r="21" spans="1:12" ht="13.5" thickBot="1">
      <c r="A21" s="288">
        <v>15</v>
      </c>
      <c r="B21" s="20" t="s">
        <v>440</v>
      </c>
      <c r="C21" s="168" t="str">
        <f t="shared" si="3"/>
        <v>Balsem</v>
      </c>
      <c r="D21" s="30">
        <f t="shared" si="4"/>
        <v>10000</v>
      </c>
      <c r="E21" s="289">
        <v>200</v>
      </c>
      <c r="F21" s="644">
        <f t="shared" si="5"/>
        <v>2000000</v>
      </c>
      <c r="G21" s="289" t="s">
        <v>435</v>
      </c>
      <c r="H21" s="20" t="s">
        <v>441</v>
      </c>
      <c r="I21" s="645">
        <f t="shared" si="6"/>
        <v>300000</v>
      </c>
      <c r="J21" s="643">
        <f t="shared" si="0"/>
        <v>200000</v>
      </c>
      <c r="K21" s="645">
        <f t="shared" si="1"/>
        <v>100000</v>
      </c>
      <c r="L21" s="646">
        <f t="shared" si="2"/>
        <v>1600000</v>
      </c>
    </row>
    <row r="22" spans="1:12" ht="14.25" thickTop="1" thickBot="1">
      <c r="A22" s="762" t="s">
        <v>30</v>
      </c>
      <c r="B22" s="763"/>
      <c r="C22" s="763"/>
      <c r="D22" s="763"/>
      <c r="E22" s="763"/>
      <c r="F22" s="763"/>
      <c r="G22" s="763"/>
      <c r="H22" s="763"/>
      <c r="I22" s="763"/>
      <c r="J22" s="763"/>
      <c r="K22" s="763"/>
      <c r="L22" s="647">
        <f>SUM(L7:L21)</f>
        <v>12214590</v>
      </c>
    </row>
    <row r="23" spans="1:1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1:12" ht="13.5" thickBot="1">
      <c r="B24" s="61" t="s">
        <v>442</v>
      </c>
    </row>
    <row r="25" spans="1:12" ht="26.25" thickBot="1">
      <c r="B25" s="290" t="s">
        <v>424</v>
      </c>
      <c r="C25" s="290" t="s">
        <v>425</v>
      </c>
      <c r="D25" s="290" t="s">
        <v>426</v>
      </c>
      <c r="E25" s="59"/>
    </row>
    <row r="26" spans="1:12" ht="13.5" thickBot="1">
      <c r="B26" s="291" t="s">
        <v>434</v>
      </c>
      <c r="C26" s="291" t="s">
        <v>443</v>
      </c>
      <c r="D26" s="292">
        <v>12500</v>
      </c>
      <c r="E26" s="35"/>
    </row>
    <row r="27" spans="1:12" ht="13.5" thickBot="1">
      <c r="B27" s="291" t="s">
        <v>436</v>
      </c>
      <c r="C27" s="291" t="s">
        <v>445</v>
      </c>
      <c r="D27" s="292">
        <v>14550</v>
      </c>
      <c r="E27" s="35"/>
    </row>
    <row r="28" spans="1:12" ht="13.5" thickBot="1">
      <c r="B28" s="291" t="s">
        <v>440</v>
      </c>
      <c r="C28" s="291" t="s">
        <v>444</v>
      </c>
      <c r="D28" s="292">
        <v>10000</v>
      </c>
      <c r="E28" s="35"/>
    </row>
    <row r="30" spans="1:12">
      <c r="A30" t="s">
        <v>24</v>
      </c>
    </row>
    <row r="31" spans="1:12">
      <c r="A31" t="s">
        <v>447</v>
      </c>
    </row>
    <row r="32" spans="1:12">
      <c r="A32" t="s">
        <v>448</v>
      </c>
    </row>
    <row r="33" spans="1:1">
      <c r="A33" t="s">
        <v>449</v>
      </c>
    </row>
    <row r="34" spans="1:1">
      <c r="A34" t="s">
        <v>515</v>
      </c>
    </row>
    <row r="35" spans="1:1">
      <c r="A35" t="s">
        <v>516</v>
      </c>
    </row>
    <row r="36" spans="1:1">
      <c r="A36" t="s">
        <v>450</v>
      </c>
    </row>
    <row r="37" spans="1:1">
      <c r="A37" t="s">
        <v>451</v>
      </c>
    </row>
    <row r="38" spans="1:1">
      <c r="A38" t="s">
        <v>452</v>
      </c>
    </row>
    <row r="39" spans="1:1">
      <c r="A39" t="s">
        <v>453</v>
      </c>
    </row>
    <row r="40" spans="1:1">
      <c r="A40" t="s">
        <v>454</v>
      </c>
    </row>
  </sheetData>
  <mergeCells count="3">
    <mergeCell ref="A3:L3"/>
    <mergeCell ref="A4:L4"/>
    <mergeCell ref="A22:K22"/>
  </mergeCells>
  <phoneticPr fontId="5" type="noConversion"/>
  <pageMargins left="0.25" right="0.26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J43"/>
  <sheetViews>
    <sheetView topLeftCell="A21" workbookViewId="0">
      <selection activeCell="E7" sqref="E7"/>
    </sheetView>
  </sheetViews>
  <sheetFormatPr defaultRowHeight="12.75"/>
  <cols>
    <col min="1" max="1" width="8.42578125" customWidth="1"/>
    <col min="2" max="2" width="17.28515625" customWidth="1"/>
    <col min="3" max="3" width="13.85546875" customWidth="1"/>
    <col min="4" max="4" width="14.140625" customWidth="1"/>
    <col min="5" max="5" width="14.42578125" customWidth="1"/>
    <col min="6" max="6" width="7.7109375" customWidth="1"/>
    <col min="7" max="7" width="18.7109375" customWidth="1"/>
    <col min="8" max="8" width="21.28515625" customWidth="1"/>
    <col min="9" max="10" width="19" customWidth="1"/>
  </cols>
  <sheetData>
    <row r="1" spans="1:10" ht="17.25">
      <c r="A1" s="22" t="s">
        <v>455</v>
      </c>
    </row>
    <row r="2" spans="1:10" ht="18">
      <c r="A2" s="764" t="s">
        <v>456</v>
      </c>
      <c r="B2" s="764"/>
      <c r="C2" s="764"/>
      <c r="D2" s="764"/>
      <c r="E2" s="764"/>
      <c r="F2" s="764"/>
      <c r="G2" s="764"/>
      <c r="H2" s="764"/>
      <c r="I2" s="764"/>
      <c r="J2" s="764"/>
    </row>
    <row r="3" spans="1:10" ht="15">
      <c r="A3" s="765" t="s">
        <v>457</v>
      </c>
      <c r="B3" s="765"/>
      <c r="C3" s="765"/>
      <c r="D3" s="765"/>
      <c r="E3" s="765"/>
      <c r="F3" s="765"/>
      <c r="G3" s="765"/>
      <c r="H3" s="765"/>
      <c r="I3" s="765"/>
      <c r="J3" s="765"/>
    </row>
    <row r="4" spans="1:10" ht="14.25">
      <c r="A4" s="766" t="s">
        <v>458</v>
      </c>
      <c r="B4" s="766"/>
      <c r="C4" s="766"/>
      <c r="D4" s="766"/>
      <c r="E4" s="766"/>
      <c r="F4" s="766"/>
      <c r="G4" s="766"/>
      <c r="H4" s="766"/>
      <c r="I4" s="766"/>
      <c r="J4" s="766"/>
    </row>
    <row r="5" spans="1:10" ht="15" thickBot="1">
      <c r="A5" s="23" t="s">
        <v>459</v>
      </c>
      <c r="B5" s="293">
        <v>38231</v>
      </c>
      <c r="C5" s="62"/>
      <c r="D5" s="23"/>
      <c r="E5" s="23"/>
      <c r="F5" s="23"/>
      <c r="G5" s="23"/>
      <c r="H5" s="23"/>
      <c r="I5" s="23"/>
      <c r="J5" s="23"/>
    </row>
    <row r="6" spans="1:10" ht="29.25" thickBot="1">
      <c r="A6" s="294" t="s">
        <v>460</v>
      </c>
      <c r="B6" s="295" t="s">
        <v>23</v>
      </c>
      <c r="C6" s="295" t="s">
        <v>461</v>
      </c>
      <c r="D6" s="295" t="s">
        <v>462</v>
      </c>
      <c r="E6" s="295" t="s">
        <v>463</v>
      </c>
      <c r="F6" s="295" t="s">
        <v>464</v>
      </c>
      <c r="G6" s="295" t="s">
        <v>465</v>
      </c>
      <c r="H6" s="295" t="s">
        <v>466</v>
      </c>
      <c r="I6" s="295" t="s">
        <v>467</v>
      </c>
      <c r="J6" s="296" t="s">
        <v>468</v>
      </c>
    </row>
    <row r="7" spans="1:10" ht="15">
      <c r="A7" s="299" t="s">
        <v>505</v>
      </c>
      <c r="B7" s="72" t="str">
        <f>VLOOKUP(LEFT(A7,2),$A$21:$B$26,2,FALSE)</f>
        <v>Setrika</v>
      </c>
      <c r="C7" s="302" t="str">
        <f>HLOOKUP(RIGHT(A7,2),$D$21:$I$22,2,FALSE)</f>
        <v>National</v>
      </c>
      <c r="D7" s="373">
        <v>110000</v>
      </c>
      <c r="E7" s="648">
        <f>D7+25%*D7</f>
        <v>137500</v>
      </c>
      <c r="F7" s="63">
        <v>20</v>
      </c>
      <c r="G7" s="649">
        <f>F7*D7</f>
        <v>2200000</v>
      </c>
      <c r="H7" s="650">
        <f>F7*E7</f>
        <v>2750000</v>
      </c>
      <c r="I7" s="651">
        <f>H7-G7</f>
        <v>550000</v>
      </c>
      <c r="J7" s="652">
        <f>IF(I7&gt;2000000,15%*I7,IF(I7&gt;=1000000,10%*I7,IF(I7&lt;500000,0,5%*I7)))</f>
        <v>27500</v>
      </c>
    </row>
    <row r="8" spans="1:10" ht="15">
      <c r="A8" s="300" t="s">
        <v>506</v>
      </c>
      <c r="B8" s="72" t="str">
        <f t="shared" ref="B8:B17" si="0">VLOOKUP(LEFT(A8,2),$A$21:$B$26,2,FALSE)</f>
        <v>Kipas Angin</v>
      </c>
      <c r="C8" s="302" t="str">
        <f t="shared" ref="C8:C17" si="1">HLOOKUP(RIGHT(A8,2),$D$21:$I$22,2,FALSE)</f>
        <v>National</v>
      </c>
      <c r="D8" s="373">
        <v>150000</v>
      </c>
      <c r="E8" s="648">
        <f t="shared" ref="E8:E17" si="2">D8+25%*D8</f>
        <v>187500</v>
      </c>
      <c r="F8" s="64">
        <v>12</v>
      </c>
      <c r="G8" s="649">
        <f t="shared" ref="G8:G17" si="3">F8*D8</f>
        <v>1800000</v>
      </c>
      <c r="H8" s="650">
        <f t="shared" ref="H8:H17" si="4">F8*E8</f>
        <v>2250000</v>
      </c>
      <c r="I8" s="651">
        <f t="shared" ref="I8:I17" si="5">H8-G8</f>
        <v>450000</v>
      </c>
      <c r="J8" s="652">
        <f t="shared" ref="J8:J17" si="6">IF(I8&gt;2000000,15%*I8,IF(I8&gt;=1000000,10%*I8,IF(I8&lt;500000,0,5%*I8)))</f>
        <v>0</v>
      </c>
    </row>
    <row r="9" spans="1:10" ht="15">
      <c r="A9" s="300" t="s">
        <v>507</v>
      </c>
      <c r="B9" s="72" t="str">
        <f t="shared" si="0"/>
        <v>Blender</v>
      </c>
      <c r="C9" s="302" t="str">
        <f t="shared" si="1"/>
        <v>Philips</v>
      </c>
      <c r="D9" s="373">
        <v>170000</v>
      </c>
      <c r="E9" s="648">
        <f t="shared" si="2"/>
        <v>212500</v>
      </c>
      <c r="F9" s="64">
        <v>15</v>
      </c>
      <c r="G9" s="649">
        <f t="shared" si="3"/>
        <v>2550000</v>
      </c>
      <c r="H9" s="650">
        <f t="shared" si="4"/>
        <v>3187500</v>
      </c>
      <c r="I9" s="651">
        <f t="shared" si="5"/>
        <v>637500</v>
      </c>
      <c r="J9" s="652">
        <f t="shared" si="6"/>
        <v>31875</v>
      </c>
    </row>
    <row r="10" spans="1:10" ht="15">
      <c r="A10" s="300" t="s">
        <v>508</v>
      </c>
      <c r="B10" s="72" t="str">
        <f t="shared" si="0"/>
        <v>Kulkas</v>
      </c>
      <c r="C10" s="302" t="str">
        <f t="shared" si="1"/>
        <v>Toshiba</v>
      </c>
      <c r="D10" s="373">
        <v>1400000</v>
      </c>
      <c r="E10" s="648">
        <f t="shared" si="2"/>
        <v>1750000</v>
      </c>
      <c r="F10" s="64">
        <v>5</v>
      </c>
      <c r="G10" s="649">
        <f t="shared" si="3"/>
        <v>7000000</v>
      </c>
      <c r="H10" s="650">
        <f t="shared" si="4"/>
        <v>8750000</v>
      </c>
      <c r="I10" s="651">
        <f t="shared" si="5"/>
        <v>1750000</v>
      </c>
      <c r="J10" s="652">
        <f t="shared" si="6"/>
        <v>175000</v>
      </c>
    </row>
    <row r="11" spans="1:10" ht="15">
      <c r="A11" s="300" t="s">
        <v>509</v>
      </c>
      <c r="B11" s="72" t="str">
        <f t="shared" si="0"/>
        <v>Mesin Cuci</v>
      </c>
      <c r="C11" s="302" t="str">
        <f t="shared" si="1"/>
        <v>Samsung</v>
      </c>
      <c r="D11" s="373">
        <v>1200000</v>
      </c>
      <c r="E11" s="648">
        <f t="shared" si="2"/>
        <v>1500000</v>
      </c>
      <c r="F11" s="64">
        <v>3</v>
      </c>
      <c r="G11" s="649">
        <f t="shared" si="3"/>
        <v>3600000</v>
      </c>
      <c r="H11" s="650">
        <f t="shared" si="4"/>
        <v>4500000</v>
      </c>
      <c r="I11" s="651">
        <f t="shared" si="5"/>
        <v>900000</v>
      </c>
      <c r="J11" s="652">
        <f t="shared" si="6"/>
        <v>45000</v>
      </c>
    </row>
    <row r="12" spans="1:10" ht="15">
      <c r="A12" s="300" t="s">
        <v>510</v>
      </c>
      <c r="B12" s="72" t="str">
        <f t="shared" si="0"/>
        <v>Setrika</v>
      </c>
      <c r="C12" s="302" t="str">
        <f t="shared" si="1"/>
        <v>Philips</v>
      </c>
      <c r="D12" s="373">
        <v>130000</v>
      </c>
      <c r="E12" s="648">
        <f t="shared" si="2"/>
        <v>162500</v>
      </c>
      <c r="F12" s="64">
        <v>10</v>
      </c>
      <c r="G12" s="649">
        <f t="shared" si="3"/>
        <v>1300000</v>
      </c>
      <c r="H12" s="650">
        <f t="shared" si="4"/>
        <v>1625000</v>
      </c>
      <c r="I12" s="651">
        <f t="shared" si="5"/>
        <v>325000</v>
      </c>
      <c r="J12" s="652">
        <f t="shared" si="6"/>
        <v>0</v>
      </c>
    </row>
    <row r="13" spans="1:10" ht="15">
      <c r="A13" s="300" t="s">
        <v>506</v>
      </c>
      <c r="B13" s="72" t="str">
        <f t="shared" si="0"/>
        <v>Kipas Angin</v>
      </c>
      <c r="C13" s="302" t="str">
        <f t="shared" si="1"/>
        <v>National</v>
      </c>
      <c r="D13" s="373">
        <v>120000</v>
      </c>
      <c r="E13" s="648">
        <f t="shared" si="2"/>
        <v>150000</v>
      </c>
      <c r="F13" s="64">
        <v>12</v>
      </c>
      <c r="G13" s="649">
        <f t="shared" si="3"/>
        <v>1440000</v>
      </c>
      <c r="H13" s="650">
        <f t="shared" si="4"/>
        <v>1800000</v>
      </c>
      <c r="I13" s="651">
        <f t="shared" si="5"/>
        <v>360000</v>
      </c>
      <c r="J13" s="652">
        <f t="shared" si="6"/>
        <v>0</v>
      </c>
    </row>
    <row r="14" spans="1:10" ht="15">
      <c r="A14" s="300" t="s">
        <v>511</v>
      </c>
      <c r="B14" s="72" t="str">
        <f t="shared" si="0"/>
        <v>Blender</v>
      </c>
      <c r="C14" s="302" t="str">
        <f t="shared" si="1"/>
        <v>National</v>
      </c>
      <c r="D14" s="373">
        <v>110000</v>
      </c>
      <c r="E14" s="648">
        <f t="shared" si="2"/>
        <v>137500</v>
      </c>
      <c r="F14" s="64">
        <v>25</v>
      </c>
      <c r="G14" s="649">
        <f t="shared" si="3"/>
        <v>2750000</v>
      </c>
      <c r="H14" s="650">
        <f t="shared" si="4"/>
        <v>3437500</v>
      </c>
      <c r="I14" s="651">
        <f t="shared" si="5"/>
        <v>687500</v>
      </c>
      <c r="J14" s="652">
        <f t="shared" si="6"/>
        <v>34375</v>
      </c>
    </row>
    <row r="15" spans="1:10" ht="15">
      <c r="A15" s="300" t="s">
        <v>512</v>
      </c>
      <c r="B15" s="72" t="str">
        <f t="shared" si="0"/>
        <v>Kulkas</v>
      </c>
      <c r="C15" s="302" t="str">
        <f t="shared" si="1"/>
        <v>LG</v>
      </c>
      <c r="D15" s="373">
        <v>1000000</v>
      </c>
      <c r="E15" s="648">
        <f t="shared" si="2"/>
        <v>1250000</v>
      </c>
      <c r="F15" s="64">
        <v>10</v>
      </c>
      <c r="G15" s="649">
        <f t="shared" si="3"/>
        <v>10000000</v>
      </c>
      <c r="H15" s="650">
        <f t="shared" si="4"/>
        <v>12500000</v>
      </c>
      <c r="I15" s="651">
        <f t="shared" si="5"/>
        <v>2500000</v>
      </c>
      <c r="J15" s="652">
        <f t="shared" si="6"/>
        <v>375000</v>
      </c>
    </row>
    <row r="16" spans="1:10" ht="15">
      <c r="A16" s="300" t="s">
        <v>513</v>
      </c>
      <c r="B16" s="72" t="str">
        <f t="shared" si="0"/>
        <v>Mesin Cuci</v>
      </c>
      <c r="C16" s="302" t="str">
        <f t="shared" si="1"/>
        <v>LG</v>
      </c>
      <c r="D16" s="373">
        <v>900000</v>
      </c>
      <c r="E16" s="648">
        <f t="shared" si="2"/>
        <v>1125000</v>
      </c>
      <c r="F16" s="64">
        <v>8</v>
      </c>
      <c r="G16" s="649">
        <f t="shared" si="3"/>
        <v>7200000</v>
      </c>
      <c r="H16" s="650">
        <f t="shared" si="4"/>
        <v>9000000</v>
      </c>
      <c r="I16" s="651">
        <f t="shared" si="5"/>
        <v>1800000</v>
      </c>
      <c r="J16" s="652">
        <f t="shared" si="6"/>
        <v>180000</v>
      </c>
    </row>
    <row r="17" spans="1:10" ht="15.75" thickBot="1">
      <c r="A17" s="301" t="s">
        <v>514</v>
      </c>
      <c r="B17" s="72" t="str">
        <f t="shared" si="0"/>
        <v>Kulkas</v>
      </c>
      <c r="C17" s="302" t="str">
        <f t="shared" si="1"/>
        <v>Samsung</v>
      </c>
      <c r="D17" s="373">
        <v>1300000</v>
      </c>
      <c r="E17" s="648">
        <f t="shared" si="2"/>
        <v>1625000</v>
      </c>
      <c r="F17" s="65">
        <v>10</v>
      </c>
      <c r="G17" s="649">
        <f t="shared" si="3"/>
        <v>13000000</v>
      </c>
      <c r="H17" s="650">
        <f t="shared" si="4"/>
        <v>16250000</v>
      </c>
      <c r="I17" s="651">
        <f t="shared" si="5"/>
        <v>3250000</v>
      </c>
      <c r="J17" s="652">
        <f t="shared" si="6"/>
        <v>487500</v>
      </c>
    </row>
    <row r="18" spans="1:10" ht="15.75" thickTop="1" thickBot="1">
      <c r="A18" s="767" t="s">
        <v>469</v>
      </c>
      <c r="B18" s="768"/>
      <c r="C18" s="768"/>
      <c r="D18" s="768"/>
      <c r="E18" s="768"/>
      <c r="F18" s="769"/>
      <c r="G18" s="297" t="s">
        <v>470</v>
      </c>
      <c r="H18" s="297" t="s">
        <v>470</v>
      </c>
      <c r="I18" s="297" t="s">
        <v>470</v>
      </c>
      <c r="J18" s="298" t="s">
        <v>470</v>
      </c>
    </row>
    <row r="20" spans="1:10" ht="15" thickBot="1">
      <c r="A20" s="70" t="s">
        <v>490</v>
      </c>
      <c r="D20" t="s">
        <v>491</v>
      </c>
    </row>
    <row r="21" spans="1:10" ht="28.5">
      <c r="A21" s="303" t="s">
        <v>460</v>
      </c>
      <c r="B21" s="304" t="s">
        <v>23</v>
      </c>
      <c r="D21" s="307" t="s">
        <v>471</v>
      </c>
      <c r="E21" s="308" t="s">
        <v>484</v>
      </c>
      <c r="F21" s="309" t="s">
        <v>485</v>
      </c>
      <c r="G21" s="309" t="s">
        <v>486</v>
      </c>
      <c r="H21" s="309" t="s">
        <v>487</v>
      </c>
      <c r="I21" s="310" t="s">
        <v>488</v>
      </c>
    </row>
    <row r="22" spans="1:10" ht="15" thickBot="1">
      <c r="A22" s="305" t="s">
        <v>473</v>
      </c>
      <c r="B22" s="17" t="s">
        <v>165</v>
      </c>
      <c r="D22" s="278" t="s">
        <v>472</v>
      </c>
      <c r="E22" s="34" t="s">
        <v>474</v>
      </c>
      <c r="F22" s="34" t="s">
        <v>476</v>
      </c>
      <c r="G22" s="34" t="s">
        <v>479</v>
      </c>
      <c r="H22" s="34" t="s">
        <v>481</v>
      </c>
      <c r="I22" s="67" t="s">
        <v>483</v>
      </c>
    </row>
    <row r="23" spans="1:10" ht="14.25">
      <c r="A23" s="305" t="s">
        <v>475</v>
      </c>
      <c r="B23" s="17" t="s">
        <v>166</v>
      </c>
      <c r="D23" s="60"/>
    </row>
    <row r="24" spans="1:10" ht="14.25">
      <c r="A24" s="305" t="s">
        <v>477</v>
      </c>
      <c r="B24" s="17" t="s">
        <v>478</v>
      </c>
      <c r="D24" s="60"/>
    </row>
    <row r="25" spans="1:10" ht="14.25">
      <c r="A25" s="305" t="s">
        <v>480</v>
      </c>
      <c r="B25" s="17" t="s">
        <v>163</v>
      </c>
      <c r="D25" s="60"/>
    </row>
    <row r="26" spans="1:10" ht="15" thickBot="1">
      <c r="A26" s="306" t="s">
        <v>482</v>
      </c>
      <c r="B26" s="66" t="s">
        <v>162</v>
      </c>
      <c r="D26" s="60"/>
    </row>
    <row r="28" spans="1:10" ht="14.25">
      <c r="A28" s="71" t="s">
        <v>493</v>
      </c>
    </row>
    <row r="29" spans="1:10" ht="14.25">
      <c r="A29" s="71" t="s">
        <v>494</v>
      </c>
    </row>
    <row r="30" spans="1:10" ht="14.25">
      <c r="A30" s="71" t="s">
        <v>495</v>
      </c>
    </row>
    <row r="31" spans="1:10" ht="14.25">
      <c r="A31" s="68"/>
    </row>
    <row r="32" spans="1:10" ht="14.25">
      <c r="A32" s="69" t="s">
        <v>24</v>
      </c>
    </row>
    <row r="33" spans="1:2" ht="14.25">
      <c r="A33" s="71" t="s">
        <v>489</v>
      </c>
    </row>
    <row r="34" spans="1:2">
      <c r="A34" t="s">
        <v>492</v>
      </c>
    </row>
    <row r="35" spans="1:2">
      <c r="A35" t="s">
        <v>496</v>
      </c>
    </row>
    <row r="36" spans="1:2">
      <c r="A36" t="s">
        <v>497</v>
      </c>
    </row>
    <row r="37" spans="1:2">
      <c r="A37" t="s">
        <v>498</v>
      </c>
    </row>
    <row r="38" spans="1:2">
      <c r="A38" t="s">
        <v>499</v>
      </c>
    </row>
    <row r="39" spans="1:2">
      <c r="A39" t="s">
        <v>500</v>
      </c>
    </row>
    <row r="40" spans="1:2">
      <c r="B40" t="s">
        <v>501</v>
      </c>
    </row>
    <row r="41" spans="1:2">
      <c r="B41" t="s">
        <v>502</v>
      </c>
    </row>
    <row r="42" spans="1:2">
      <c r="B42" t="s">
        <v>504</v>
      </c>
    </row>
    <row r="43" spans="1:2">
      <c r="B43" t="s">
        <v>503</v>
      </c>
    </row>
  </sheetData>
  <mergeCells count="4">
    <mergeCell ref="A2:J2"/>
    <mergeCell ref="A3:J3"/>
    <mergeCell ref="A4:J4"/>
    <mergeCell ref="A18:F18"/>
  </mergeCells>
  <phoneticPr fontId="5" type="noConversion"/>
  <pageMargins left="0.39" right="0.36" top="1" bottom="0.74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L36"/>
  <sheetViews>
    <sheetView topLeftCell="A9" zoomScale="106" zoomScaleNormal="106" workbookViewId="0">
      <selection activeCell="J12" sqref="J12:J21"/>
    </sheetView>
  </sheetViews>
  <sheetFormatPr defaultRowHeight="12.75"/>
  <cols>
    <col min="1" max="1" width="6" customWidth="1"/>
    <col min="2" max="2" width="23.42578125" customWidth="1"/>
    <col min="3" max="3" width="10.28515625" bestFit="1" customWidth="1"/>
    <col min="4" max="4" width="13.28515625" customWidth="1"/>
    <col min="5" max="5" width="10.5703125" customWidth="1"/>
    <col min="6" max="6" width="10.5703125" bestFit="1" customWidth="1"/>
    <col min="7" max="7" width="12" bestFit="1" customWidth="1"/>
    <col min="8" max="8" width="11.7109375" bestFit="1" customWidth="1"/>
  </cols>
  <sheetData>
    <row r="1" spans="1:12" ht="17.25">
      <c r="A1" s="22" t="s">
        <v>563</v>
      </c>
    </row>
    <row r="2" spans="1:12">
      <c r="A2" t="s">
        <v>517</v>
      </c>
    </row>
    <row r="3" spans="1:12" ht="38.25">
      <c r="A3" s="311" t="s">
        <v>518</v>
      </c>
      <c r="B3" s="312" t="s">
        <v>265</v>
      </c>
      <c r="C3" s="312" t="s">
        <v>519</v>
      </c>
      <c r="D3" s="312" t="s">
        <v>520</v>
      </c>
      <c r="E3" s="313" t="s">
        <v>521</v>
      </c>
    </row>
    <row r="4" spans="1:12">
      <c r="A4" s="314" t="s">
        <v>522</v>
      </c>
      <c r="B4" s="315" t="s">
        <v>157</v>
      </c>
      <c r="C4" s="316">
        <v>500</v>
      </c>
      <c r="D4" s="316">
        <v>125</v>
      </c>
      <c r="E4" s="317">
        <v>50</v>
      </c>
    </row>
    <row r="5" spans="1:12">
      <c r="A5" s="318" t="s">
        <v>523</v>
      </c>
      <c r="B5" s="319" t="s">
        <v>524</v>
      </c>
      <c r="C5" s="320">
        <v>100</v>
      </c>
      <c r="D5" s="320">
        <v>25</v>
      </c>
      <c r="E5" s="321">
        <v>150</v>
      </c>
    </row>
    <row r="6" spans="1:12">
      <c r="A6" s="318" t="s">
        <v>525</v>
      </c>
      <c r="B6" s="319" t="s">
        <v>526</v>
      </c>
      <c r="C6" s="320">
        <v>400</v>
      </c>
      <c r="D6" s="320">
        <v>100</v>
      </c>
      <c r="E6" s="321">
        <v>75</v>
      </c>
    </row>
    <row r="7" spans="1:12">
      <c r="A7" s="318" t="s">
        <v>527</v>
      </c>
      <c r="B7" s="319" t="s">
        <v>528</v>
      </c>
      <c r="C7" s="320">
        <v>200</v>
      </c>
      <c r="D7" s="320">
        <v>50</v>
      </c>
      <c r="E7" s="321">
        <v>125</v>
      </c>
    </row>
    <row r="8" spans="1:12">
      <c r="A8" s="322" t="s">
        <v>529</v>
      </c>
      <c r="B8" s="323" t="s">
        <v>282</v>
      </c>
      <c r="C8" s="324">
        <v>300</v>
      </c>
      <c r="D8" s="324">
        <v>75</v>
      </c>
      <c r="E8" s="325">
        <v>100</v>
      </c>
    </row>
    <row r="10" spans="1:12" ht="13.5" thickBot="1">
      <c r="A10" s="61" t="s">
        <v>530</v>
      </c>
      <c r="C10" s="326">
        <v>38614</v>
      </c>
    </row>
    <row r="11" spans="1:12" ht="38.25">
      <c r="A11" s="327" t="s">
        <v>531</v>
      </c>
      <c r="B11" s="327" t="s">
        <v>103</v>
      </c>
      <c r="C11" s="327" t="s">
        <v>518</v>
      </c>
      <c r="D11" s="327" t="s">
        <v>265</v>
      </c>
      <c r="E11" s="327" t="s">
        <v>532</v>
      </c>
      <c r="F11" s="327" t="s">
        <v>533</v>
      </c>
      <c r="G11" s="327" t="s">
        <v>266</v>
      </c>
      <c r="H11" s="327" t="s">
        <v>534</v>
      </c>
      <c r="I11" s="327" t="s">
        <v>535</v>
      </c>
      <c r="J11" s="327" t="s">
        <v>536</v>
      </c>
      <c r="K11" s="327" t="s">
        <v>537</v>
      </c>
      <c r="L11" s="327" t="s">
        <v>538</v>
      </c>
    </row>
    <row r="12" spans="1:12">
      <c r="A12" s="328">
        <v>1</v>
      </c>
      <c r="B12" s="329" t="s">
        <v>539</v>
      </c>
      <c r="C12" s="655" t="s">
        <v>525</v>
      </c>
      <c r="D12" s="337" t="str">
        <f>VLOOKUP(C12,$A$3:$B$8,2,0)</f>
        <v>Ekonomi</v>
      </c>
      <c r="E12" s="328">
        <v>3</v>
      </c>
      <c r="F12" s="334">
        <v>38604</v>
      </c>
      <c r="G12" s="658">
        <f>F12-14</f>
        <v>38590</v>
      </c>
      <c r="H12" s="659">
        <f>$C$10-G12</f>
        <v>24</v>
      </c>
      <c r="I12" s="337">
        <f>VLOOKUP(D12,$B$4:$C$8,2,0)</f>
        <v>400</v>
      </c>
      <c r="J12" s="337" t="b">
        <f>IF(G12&gt;=F12,E12*H12)</f>
        <v>0</v>
      </c>
      <c r="K12" s="337" t="s">
        <v>601</v>
      </c>
      <c r="L12" s="337" t="s">
        <v>601</v>
      </c>
    </row>
    <row r="13" spans="1:12">
      <c r="A13" s="330">
        <v>2</v>
      </c>
      <c r="B13" s="331" t="s">
        <v>540</v>
      </c>
      <c r="C13" s="656" t="s">
        <v>523</v>
      </c>
      <c r="D13" s="337" t="str">
        <f t="shared" ref="D13:D21" si="0">VLOOKUP(C13,$A$3:$B$8,2,0)</f>
        <v>Filsafat</v>
      </c>
      <c r="E13" s="330">
        <v>5</v>
      </c>
      <c r="F13" s="335">
        <v>38596</v>
      </c>
      <c r="G13" s="658">
        <f t="shared" ref="G13:G21" si="1">F13-14</f>
        <v>38582</v>
      </c>
      <c r="H13" s="659">
        <f t="shared" ref="H13:H21" si="2">$C$10-G13</f>
        <v>32</v>
      </c>
      <c r="I13" s="337">
        <f t="shared" ref="I13:I21" si="3">VLOOKUP(D13,$B$4:$C$8,2,0)</f>
        <v>100</v>
      </c>
      <c r="J13" s="337" t="b">
        <f t="shared" ref="J13:J21" si="4">IF(G13&gt;=F13,E13*H13)</f>
        <v>0</v>
      </c>
      <c r="K13" s="337" t="s">
        <v>601</v>
      </c>
      <c r="L13" s="337" t="s">
        <v>601</v>
      </c>
    </row>
    <row r="14" spans="1:12">
      <c r="A14" s="330">
        <v>3</v>
      </c>
      <c r="B14" s="331" t="s">
        <v>541</v>
      </c>
      <c r="C14" s="656" t="s">
        <v>529</v>
      </c>
      <c r="D14" s="337" t="str">
        <f t="shared" si="0"/>
        <v>Teknik</v>
      </c>
      <c r="E14" s="330">
        <v>3</v>
      </c>
      <c r="F14" s="335">
        <v>38606</v>
      </c>
      <c r="G14" s="658">
        <f t="shared" si="1"/>
        <v>38592</v>
      </c>
      <c r="H14" s="659">
        <f t="shared" si="2"/>
        <v>22</v>
      </c>
      <c r="I14" s="337">
        <f t="shared" si="3"/>
        <v>300</v>
      </c>
      <c r="J14" s="337" t="b">
        <f t="shared" si="4"/>
        <v>0</v>
      </c>
      <c r="K14" s="337" t="s">
        <v>601</v>
      </c>
      <c r="L14" s="337" t="s">
        <v>601</v>
      </c>
    </row>
    <row r="15" spans="1:12">
      <c r="A15" s="330">
        <v>4</v>
      </c>
      <c r="B15" s="331" t="s">
        <v>542</v>
      </c>
      <c r="C15" s="656" t="s">
        <v>527</v>
      </c>
      <c r="D15" s="337" t="str">
        <f t="shared" si="0"/>
        <v>Agama</v>
      </c>
      <c r="E15" s="330">
        <v>7</v>
      </c>
      <c r="F15" s="335">
        <v>38612</v>
      </c>
      <c r="G15" s="658">
        <f t="shared" si="1"/>
        <v>38598</v>
      </c>
      <c r="H15" s="659">
        <f t="shared" si="2"/>
        <v>16</v>
      </c>
      <c r="I15" s="337">
        <f t="shared" si="3"/>
        <v>200</v>
      </c>
      <c r="J15" s="337" t="b">
        <f t="shared" si="4"/>
        <v>0</v>
      </c>
      <c r="K15" s="337" t="s">
        <v>601</v>
      </c>
      <c r="L15" s="337" t="s">
        <v>601</v>
      </c>
    </row>
    <row r="16" spans="1:12">
      <c r="A16" s="330">
        <v>5</v>
      </c>
      <c r="B16" s="331" t="s">
        <v>543</v>
      </c>
      <c r="C16" s="656" t="s">
        <v>522</v>
      </c>
      <c r="D16" s="337" t="str">
        <f t="shared" si="0"/>
        <v>Komputer</v>
      </c>
      <c r="E16" s="330">
        <v>8</v>
      </c>
      <c r="F16" s="335">
        <v>38600</v>
      </c>
      <c r="G16" s="658">
        <f t="shared" si="1"/>
        <v>38586</v>
      </c>
      <c r="H16" s="659">
        <f t="shared" si="2"/>
        <v>28</v>
      </c>
      <c r="I16" s="337">
        <f t="shared" si="3"/>
        <v>500</v>
      </c>
      <c r="J16" s="337" t="b">
        <f t="shared" si="4"/>
        <v>0</v>
      </c>
      <c r="K16" s="337" t="s">
        <v>601</v>
      </c>
      <c r="L16" s="337" t="s">
        <v>601</v>
      </c>
    </row>
    <row r="17" spans="1:12">
      <c r="A17" s="330">
        <v>6</v>
      </c>
      <c r="B17" s="331" t="s">
        <v>544</v>
      </c>
      <c r="C17" s="656" t="s">
        <v>525</v>
      </c>
      <c r="D17" s="337" t="str">
        <f t="shared" si="0"/>
        <v>Ekonomi</v>
      </c>
      <c r="E17" s="330">
        <v>4</v>
      </c>
      <c r="F17" s="335">
        <v>38624</v>
      </c>
      <c r="G17" s="658">
        <f t="shared" si="1"/>
        <v>38610</v>
      </c>
      <c r="H17" s="659">
        <f t="shared" si="2"/>
        <v>4</v>
      </c>
      <c r="I17" s="337">
        <f t="shared" si="3"/>
        <v>400</v>
      </c>
      <c r="J17" s="337" t="b">
        <f t="shared" si="4"/>
        <v>0</v>
      </c>
      <c r="K17" s="337" t="s">
        <v>601</v>
      </c>
      <c r="L17" s="337" t="s">
        <v>601</v>
      </c>
    </row>
    <row r="18" spans="1:12">
      <c r="A18" s="330">
        <v>7</v>
      </c>
      <c r="B18" s="331" t="s">
        <v>545</v>
      </c>
      <c r="C18" s="656" t="s">
        <v>523</v>
      </c>
      <c r="D18" s="337" t="str">
        <f t="shared" si="0"/>
        <v>Filsafat</v>
      </c>
      <c r="E18" s="330">
        <v>6</v>
      </c>
      <c r="F18" s="335">
        <v>38619</v>
      </c>
      <c r="G18" s="658">
        <f t="shared" si="1"/>
        <v>38605</v>
      </c>
      <c r="H18" s="659">
        <f t="shared" si="2"/>
        <v>9</v>
      </c>
      <c r="I18" s="337">
        <f t="shared" si="3"/>
        <v>100</v>
      </c>
      <c r="J18" s="337" t="b">
        <f t="shared" si="4"/>
        <v>0</v>
      </c>
      <c r="K18" s="337" t="s">
        <v>601</v>
      </c>
      <c r="L18" s="337" t="s">
        <v>601</v>
      </c>
    </row>
    <row r="19" spans="1:12">
      <c r="A19" s="330">
        <v>8</v>
      </c>
      <c r="B19" s="331" t="s">
        <v>546</v>
      </c>
      <c r="C19" s="656" t="s">
        <v>529</v>
      </c>
      <c r="D19" s="337" t="str">
        <f t="shared" si="0"/>
        <v>Teknik</v>
      </c>
      <c r="E19" s="330">
        <v>5</v>
      </c>
      <c r="F19" s="335">
        <v>38615</v>
      </c>
      <c r="G19" s="658">
        <f t="shared" si="1"/>
        <v>38601</v>
      </c>
      <c r="H19" s="659">
        <f t="shared" si="2"/>
        <v>13</v>
      </c>
      <c r="I19" s="337">
        <f t="shared" si="3"/>
        <v>300</v>
      </c>
      <c r="J19" s="337" t="b">
        <f t="shared" si="4"/>
        <v>0</v>
      </c>
      <c r="K19" s="337" t="s">
        <v>601</v>
      </c>
      <c r="L19" s="337" t="s">
        <v>601</v>
      </c>
    </row>
    <row r="20" spans="1:12">
      <c r="A20" s="330">
        <v>9</v>
      </c>
      <c r="B20" s="331" t="s">
        <v>547</v>
      </c>
      <c r="C20" s="656" t="s">
        <v>522</v>
      </c>
      <c r="D20" s="337" t="str">
        <f t="shared" si="0"/>
        <v>Komputer</v>
      </c>
      <c r="E20" s="330">
        <v>10</v>
      </c>
      <c r="F20" s="335">
        <v>38614</v>
      </c>
      <c r="G20" s="658">
        <f t="shared" si="1"/>
        <v>38600</v>
      </c>
      <c r="H20" s="659">
        <f t="shared" si="2"/>
        <v>14</v>
      </c>
      <c r="I20" s="337">
        <f t="shared" si="3"/>
        <v>500</v>
      </c>
      <c r="J20" s="337" t="b">
        <f t="shared" si="4"/>
        <v>0</v>
      </c>
      <c r="K20" s="337" t="s">
        <v>601</v>
      </c>
      <c r="L20" s="337" t="s">
        <v>601</v>
      </c>
    </row>
    <row r="21" spans="1:12" ht="13.5" thickBot="1">
      <c r="A21" s="332">
        <v>10</v>
      </c>
      <c r="B21" s="333" t="s">
        <v>548</v>
      </c>
      <c r="C21" s="657" t="s">
        <v>527</v>
      </c>
      <c r="D21" s="337" t="str">
        <f t="shared" si="0"/>
        <v>Agama</v>
      </c>
      <c r="E21" s="332">
        <v>2</v>
      </c>
      <c r="F21" s="336">
        <v>38610</v>
      </c>
      <c r="G21" s="658">
        <f t="shared" si="1"/>
        <v>38596</v>
      </c>
      <c r="H21" s="659">
        <f t="shared" si="2"/>
        <v>18</v>
      </c>
      <c r="I21" s="337">
        <f t="shared" si="3"/>
        <v>200</v>
      </c>
      <c r="J21" s="337" t="b">
        <f t="shared" si="4"/>
        <v>0</v>
      </c>
      <c r="K21" s="338" t="s">
        <v>601</v>
      </c>
      <c r="L21" s="338" t="s">
        <v>601</v>
      </c>
    </row>
    <row r="23" spans="1:12">
      <c r="A23" t="s">
        <v>549</v>
      </c>
    </row>
    <row r="24" spans="1:12">
      <c r="A24" t="s">
        <v>556</v>
      </c>
    </row>
    <row r="25" spans="1:12">
      <c r="A25" t="s">
        <v>557</v>
      </c>
    </row>
    <row r="26" spans="1:12">
      <c r="A26" t="s">
        <v>558</v>
      </c>
    </row>
    <row r="27" spans="1:12">
      <c r="A27" t="s">
        <v>550</v>
      </c>
    </row>
    <row r="28" spans="1:12">
      <c r="A28" t="s">
        <v>559</v>
      </c>
    </row>
    <row r="29" spans="1:12">
      <c r="A29" t="s">
        <v>560</v>
      </c>
    </row>
    <row r="30" spans="1:12">
      <c r="B30" t="s">
        <v>551</v>
      </c>
    </row>
    <row r="31" spans="1:12">
      <c r="B31" t="s">
        <v>552</v>
      </c>
    </row>
    <row r="32" spans="1:12">
      <c r="B32" t="s">
        <v>553</v>
      </c>
    </row>
    <row r="33" spans="1:2">
      <c r="B33" t="s">
        <v>554</v>
      </c>
    </row>
    <row r="34" spans="1:2">
      <c r="A34" t="s">
        <v>561</v>
      </c>
    </row>
    <row r="35" spans="1:2">
      <c r="A35" t="s">
        <v>555</v>
      </c>
    </row>
    <row r="36" spans="1:2">
      <c r="A36" t="s">
        <v>562</v>
      </c>
    </row>
  </sheetData>
  <phoneticPr fontId="5" type="noConversion"/>
  <pageMargins left="0.32" right="0.45" top="0.4" bottom="0.71" header="0.27" footer="0.5"/>
  <pageSetup orientation="landscape" horizontalDpi="4294967293" verticalDpi="4294967293" r:id="rId1"/>
  <headerFooter alignWithMargins="0">
    <oddFooter>&amp;LLPIA Cibinong&amp;C021-87906787&amp;RLATIHAN EXCEL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I35"/>
  <sheetViews>
    <sheetView topLeftCell="A13" workbookViewId="0">
      <selection activeCell="E8" sqref="E8"/>
    </sheetView>
  </sheetViews>
  <sheetFormatPr defaultRowHeight="12.75"/>
  <cols>
    <col min="1" max="1" width="3.85546875" customWidth="1"/>
    <col min="2" max="2" width="10.85546875" customWidth="1"/>
    <col min="3" max="3" width="10" customWidth="1"/>
    <col min="4" max="4" width="17.5703125" customWidth="1"/>
    <col min="5" max="5" width="10" customWidth="1"/>
    <col min="8" max="8" width="10.140625" customWidth="1"/>
    <col min="9" max="9" width="18.140625" customWidth="1"/>
  </cols>
  <sheetData>
    <row r="1" spans="1:9" ht="17.25">
      <c r="A1" s="22" t="s">
        <v>595</v>
      </c>
    </row>
    <row r="3" spans="1:9" ht="21.75">
      <c r="A3" s="770" t="s">
        <v>564</v>
      </c>
      <c r="B3" s="770"/>
      <c r="C3" s="770"/>
      <c r="D3" s="770"/>
      <c r="E3" s="770"/>
      <c r="F3" s="770"/>
      <c r="G3" s="770"/>
      <c r="H3" s="770"/>
      <c r="I3" s="770"/>
    </row>
    <row r="4" spans="1:9" ht="18">
      <c r="A4" s="710" t="s">
        <v>565</v>
      </c>
      <c r="B4" s="710"/>
      <c r="C4" s="710"/>
      <c r="D4" s="710"/>
      <c r="E4" s="710"/>
      <c r="F4" s="710"/>
      <c r="G4" s="710"/>
      <c r="H4" s="710"/>
      <c r="I4" s="710"/>
    </row>
    <row r="5" spans="1:9" ht="13.5" thickBot="1"/>
    <row r="6" spans="1:9" ht="26.25" thickBot="1">
      <c r="A6" s="339" t="s">
        <v>566</v>
      </c>
      <c r="B6" s="340" t="s">
        <v>567</v>
      </c>
      <c r="C6" s="340" t="s">
        <v>568</v>
      </c>
      <c r="D6" s="340" t="s">
        <v>569</v>
      </c>
      <c r="E6" s="340" t="s">
        <v>570</v>
      </c>
      <c r="F6" s="340" t="s">
        <v>571</v>
      </c>
      <c r="G6" s="340" t="s">
        <v>572</v>
      </c>
      <c r="H6" s="340" t="s">
        <v>573</v>
      </c>
      <c r="I6" s="341" t="s">
        <v>574</v>
      </c>
    </row>
    <row r="7" spans="1:9" ht="4.5" customHeight="1" thickBot="1">
      <c r="A7" s="21"/>
      <c r="B7" s="21"/>
      <c r="C7" s="21"/>
      <c r="D7" s="21"/>
      <c r="E7" s="21"/>
      <c r="F7" s="21"/>
      <c r="G7" s="21"/>
      <c r="H7" s="21"/>
      <c r="I7" s="21"/>
    </row>
    <row r="8" spans="1:9">
      <c r="A8" s="342">
        <v>1</v>
      </c>
      <c r="B8" s="343" t="s">
        <v>575</v>
      </c>
      <c r="C8" s="344" t="str">
        <f>IF(LEFT(B8,2)="pk","Pakaian",IF(LEFT(B8,2)="sp","Sepatu","celana"))</f>
        <v>Pakaian</v>
      </c>
      <c r="D8" s="352" t="str">
        <f>IF(MID(B8,4,2)="AR","Baju Arrow",IF(MID(B8,4,2)="HM","Kaos Hammer","Celana LEA"))</f>
        <v>Baju Arrow</v>
      </c>
      <c r="E8" s="352" t="str">
        <f>IF(RIGHT(B8,2)="MT","Matahari",IF(RIGHT(B8,2)="RB","Robinson","Ramayana"))</f>
        <v>Matahari</v>
      </c>
      <c r="F8" s="352">
        <f>IF(MID(B8,4,2)="AR",75000,IF(MID(B8,4,2)="HM",65000,45000))</f>
        <v>75000</v>
      </c>
      <c r="G8" s="349">
        <v>19</v>
      </c>
      <c r="H8" s="352">
        <f>IF(G8&gt;=20,5%*F8,IF(AND(G8&lt;20,G8&gt;=10),5%*F8,5%*F8))</f>
        <v>3750</v>
      </c>
      <c r="I8" s="653">
        <f>(F8*G8)+H8</f>
        <v>1428750</v>
      </c>
    </row>
    <row r="9" spans="1:9">
      <c r="A9" s="345">
        <v>2</v>
      </c>
      <c r="B9" s="346" t="s">
        <v>576</v>
      </c>
      <c r="C9" s="344" t="str">
        <f>IF(LEFT(B9,2)="pk","Pakaian",IF(LEFT(B9,2)="sp","Sepatu","celana"))</f>
        <v>Sepatu</v>
      </c>
      <c r="D9" s="352" t="str">
        <f>IF(MID(B9,4,2)="AR","Baju Arrow",IF(MID(B9,4,2)="HM","Kaos Hammer","Celana LEA"))</f>
        <v>Kaos Hammer</v>
      </c>
      <c r="E9" s="352" t="str">
        <f>IF(RIGHT(B9,2)="MT","Matahari",IF(RIGHT(B9,2)="RB","Robinson","Ramayana"))</f>
        <v>Robinson</v>
      </c>
      <c r="F9" s="352">
        <f>IF(MID(B9,4,2)="AR",75000,IF(MID(B9,4,2)="HM",65000,45000))</f>
        <v>65000</v>
      </c>
      <c r="G9" s="350">
        <v>23</v>
      </c>
      <c r="H9" s="352">
        <f>IF(G9&gt;=20,5%*F9,IF(AND(G9&lt;20,G9&gt;=10),5%*F9,5%*F9))</f>
        <v>3250</v>
      </c>
      <c r="I9" s="653">
        <f>(F9*G9)+H9</f>
        <v>1498250</v>
      </c>
    </row>
    <row r="10" spans="1:9">
      <c r="A10" s="345">
        <v>3</v>
      </c>
      <c r="B10" s="346" t="s">
        <v>577</v>
      </c>
      <c r="C10" s="344" t="str">
        <f>IF(LEFT(B10,2)="pk","Pakaian",IF(LEFT(B10,2)="sp","Sepatu","celana"))</f>
        <v>celana</v>
      </c>
      <c r="D10" s="352" t="str">
        <f>IF(MID(B10,4,2)="AR","Baju Arrow",IF(MID(B10,4,2)="HM","Kaos Hammer","Celana LEA"))</f>
        <v>Celana LEA</v>
      </c>
      <c r="E10" s="352" t="str">
        <f>IF(RIGHT(B10,2)="MT","Matahari",IF(RIGHT(B10,2)="RB","Robinson","Ramayana"))</f>
        <v>Ramayana</v>
      </c>
      <c r="F10" s="352">
        <f>IF(MID(B10,4,2)="AR",75000,IF(MID(B10,4,2)="HM",65000,45000))</f>
        <v>45000</v>
      </c>
      <c r="G10" s="350">
        <v>14</v>
      </c>
      <c r="H10" s="352">
        <f>IF(G10&gt;=20,5%*F10,IF(AND(G10&lt;20,G10&gt;=10),5%*F10,5%*F10))</f>
        <v>2250</v>
      </c>
      <c r="I10" s="653">
        <f>(F10*G10)+H10</f>
        <v>632250</v>
      </c>
    </row>
    <row r="11" spans="1:9">
      <c r="A11" s="345">
        <v>4</v>
      </c>
      <c r="B11" s="346" t="s">
        <v>575</v>
      </c>
      <c r="C11" s="344" t="str">
        <f>IF(LEFT(B11,2)="pk","Pakaian",IF(LEFT(B11,2)="sp","Sepatu","celana"))</f>
        <v>Pakaian</v>
      </c>
      <c r="D11" s="352" t="str">
        <f>IF(MID(B11,4,2)="AR","Baju Arrow",IF(MID(B11,4,2)="HM","Kaos Hammer","Celana LEA"))</f>
        <v>Baju Arrow</v>
      </c>
      <c r="E11" s="352" t="str">
        <f>IF(RIGHT(B11,2)="MT","Matahari",IF(RIGHT(B11,2)="RB","Robinson","Ramayana"))</f>
        <v>Matahari</v>
      </c>
      <c r="F11" s="352">
        <f>IF(MID(B11,4,2)="AR",75000,IF(MID(B11,4,2)="HM",65000,45000))</f>
        <v>75000</v>
      </c>
      <c r="G11" s="350">
        <v>9</v>
      </c>
      <c r="H11" s="352">
        <f>IF(G11&gt;=20,5%*F11,IF(AND(G11&lt;20,G11&gt;=10),5%*F11,5%*F11))</f>
        <v>3750</v>
      </c>
      <c r="I11" s="653">
        <f>(F11*G11)+H11</f>
        <v>678750</v>
      </c>
    </row>
    <row r="12" spans="1:9" ht="13.5" thickBot="1">
      <c r="A12" s="347">
        <v>5</v>
      </c>
      <c r="B12" s="348" t="s">
        <v>576</v>
      </c>
      <c r="C12" s="344" t="str">
        <f>IF(LEFT(B12,2)="pk","Pakaian",IF(LEFT(B12,2)="sp","Sepatu","celana"))</f>
        <v>Sepatu</v>
      </c>
      <c r="D12" s="352" t="str">
        <f>IF(MID(B12,4,2)="AR","Baju Arrow",IF(MID(B12,4,2)="HM","Kaos Hammer","Celana LEA"))</f>
        <v>Kaos Hammer</v>
      </c>
      <c r="E12" s="352" t="str">
        <f>IF(RIGHT(B12,2)="MT","Matahari",IF(RIGHT(B12,2)="RB","Robinson","Ramayana"))</f>
        <v>Robinson</v>
      </c>
      <c r="F12" s="352">
        <f>IF(MID(B12,4,2)="AR",75000,IF(MID(B12,4,2)="HM",65000,45000))</f>
        <v>65000</v>
      </c>
      <c r="G12" s="351">
        <v>25</v>
      </c>
      <c r="H12" s="352">
        <f>IF(G12&gt;=20,5%*F12,IF(AND(G12&lt;20,G12&gt;=10),5%*F12,5%*F12))</f>
        <v>3250</v>
      </c>
      <c r="I12" s="653">
        <f>(F12*G12)+H12</f>
        <v>1628250</v>
      </c>
    </row>
    <row r="14" spans="1:9">
      <c r="A14" t="s">
        <v>578</v>
      </c>
    </row>
    <row r="15" spans="1:9">
      <c r="A15" t="s">
        <v>596</v>
      </c>
    </row>
    <row r="16" spans="1:9">
      <c r="B16" t="s">
        <v>579</v>
      </c>
    </row>
    <row r="17" spans="1:2">
      <c r="B17" t="s">
        <v>580</v>
      </c>
    </row>
    <row r="18" spans="1:2">
      <c r="B18" t="s">
        <v>581</v>
      </c>
    </row>
    <row r="19" spans="1:2">
      <c r="A19" t="s">
        <v>597</v>
      </c>
    </row>
    <row r="20" spans="1:2">
      <c r="B20" t="s">
        <v>582</v>
      </c>
    </row>
    <row r="21" spans="1:2">
      <c r="B21" t="s">
        <v>583</v>
      </c>
    </row>
    <row r="22" spans="1:2">
      <c r="B22" t="s">
        <v>584</v>
      </c>
    </row>
    <row r="23" spans="1:2">
      <c r="A23" t="s">
        <v>598</v>
      </c>
    </row>
    <row r="24" spans="1:2">
      <c r="B24" t="s">
        <v>585</v>
      </c>
    </row>
    <row r="25" spans="1:2">
      <c r="B25" t="s">
        <v>586</v>
      </c>
    </row>
    <row r="26" spans="1:2">
      <c r="B26" t="s">
        <v>587</v>
      </c>
    </row>
    <row r="27" spans="1:2">
      <c r="A27" t="s">
        <v>588</v>
      </c>
    </row>
    <row r="28" spans="1:2">
      <c r="B28" t="s">
        <v>592</v>
      </c>
    </row>
    <row r="29" spans="1:2">
      <c r="B29" t="s">
        <v>593</v>
      </c>
    </row>
    <row r="30" spans="1:2">
      <c r="B30" t="s">
        <v>594</v>
      </c>
    </row>
    <row r="31" spans="1:2">
      <c r="A31" t="s">
        <v>599</v>
      </c>
    </row>
    <row r="32" spans="1:2">
      <c r="B32" t="s">
        <v>589</v>
      </c>
    </row>
    <row r="33" spans="1:2">
      <c r="B33" t="s">
        <v>590</v>
      </c>
    </row>
    <row r="34" spans="1:2">
      <c r="B34" t="s">
        <v>591</v>
      </c>
    </row>
    <row r="35" spans="1:2">
      <c r="A35" t="s">
        <v>600</v>
      </c>
    </row>
  </sheetData>
  <mergeCells count="2">
    <mergeCell ref="A3:I3"/>
    <mergeCell ref="A4:I4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CIBINONG&amp;C021.879 06787&amp;RLatihan EXCEL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opLeftCell="A20" workbookViewId="0">
      <selection activeCell="I23" sqref="I23"/>
    </sheetView>
  </sheetViews>
  <sheetFormatPr defaultRowHeight="12.75"/>
  <cols>
    <col min="2" max="2" width="15.28515625" customWidth="1"/>
    <col min="3" max="3" width="11.85546875" customWidth="1"/>
    <col min="4" max="4" width="11.5703125" customWidth="1"/>
    <col min="5" max="5" width="12.42578125" customWidth="1"/>
    <col min="6" max="6" width="12.28515625" customWidth="1"/>
    <col min="7" max="7" width="13.140625" customWidth="1"/>
  </cols>
  <sheetData>
    <row r="1" spans="1:7" ht="17.25">
      <c r="A1" s="12" t="s">
        <v>63</v>
      </c>
      <c r="B1" s="11"/>
      <c r="C1" s="11"/>
      <c r="D1" s="11"/>
      <c r="E1" s="11"/>
      <c r="F1" s="11"/>
      <c r="G1" s="11"/>
    </row>
    <row r="3" spans="1:7">
      <c r="A3" s="697" t="s">
        <v>25</v>
      </c>
      <c r="B3" s="697"/>
      <c r="C3" s="697"/>
      <c r="D3" s="697"/>
      <c r="E3" s="697"/>
      <c r="F3" s="697"/>
      <c r="G3" s="697"/>
    </row>
    <row r="4" spans="1:7">
      <c r="A4" s="697" t="s">
        <v>26</v>
      </c>
      <c r="B4" s="697"/>
      <c r="C4" s="697"/>
      <c r="D4" s="697"/>
      <c r="E4" s="697"/>
      <c r="F4" s="697"/>
      <c r="G4" s="697"/>
    </row>
    <row r="5" spans="1:7" ht="13.5" thickBot="1">
      <c r="A5" s="698" t="s">
        <v>27</v>
      </c>
      <c r="B5" s="698"/>
      <c r="C5" s="698"/>
      <c r="D5" s="698"/>
      <c r="E5" s="698"/>
      <c r="F5" s="698"/>
      <c r="G5" s="698"/>
    </row>
    <row r="6" spans="1:7" ht="14.25" thickTop="1" thickBot="1">
      <c r="A6" s="699" t="s">
        <v>28</v>
      </c>
      <c r="B6" s="701" t="s">
        <v>23</v>
      </c>
      <c r="C6" s="705" t="s">
        <v>29</v>
      </c>
      <c r="D6" s="706"/>
      <c r="E6" s="706"/>
      <c r="F6" s="707"/>
      <c r="G6" s="703" t="s">
        <v>30</v>
      </c>
    </row>
    <row r="7" spans="1:7" ht="13.5" thickBot="1">
      <c r="A7" s="700"/>
      <c r="B7" s="702"/>
      <c r="C7" s="111" t="s">
        <v>31</v>
      </c>
      <c r="D7" s="111" t="s">
        <v>32</v>
      </c>
      <c r="E7" s="111" t="s">
        <v>33</v>
      </c>
      <c r="F7" s="111" t="s">
        <v>34</v>
      </c>
      <c r="G7" s="704"/>
    </row>
    <row r="8" spans="1:7" ht="24.75" thickBot="1">
      <c r="A8" s="114" t="s">
        <v>35</v>
      </c>
      <c r="B8" s="112" t="s">
        <v>36</v>
      </c>
      <c r="C8" s="113">
        <v>1000</v>
      </c>
      <c r="D8" s="113">
        <v>2200</v>
      </c>
      <c r="E8" s="113">
        <v>3000</v>
      </c>
      <c r="F8" s="113">
        <v>1000</v>
      </c>
      <c r="G8" s="378">
        <f>SUM(C8:F8)</f>
        <v>7200</v>
      </c>
    </row>
    <row r="9" spans="1:7" ht="24.75" thickBot="1">
      <c r="A9" s="114" t="s">
        <v>37</v>
      </c>
      <c r="B9" s="112" t="s">
        <v>38</v>
      </c>
      <c r="C9" s="113">
        <v>1500</v>
      </c>
      <c r="D9" s="113">
        <v>2500</v>
      </c>
      <c r="E9" s="113">
        <v>4200</v>
      </c>
      <c r="F9" s="113">
        <v>1200</v>
      </c>
      <c r="G9" s="378">
        <f t="shared" ref="G9:G23" si="0">SUM(C9:F9)</f>
        <v>9400</v>
      </c>
    </row>
    <row r="10" spans="1:7" ht="27.75" thickBot="1">
      <c r="A10" s="114" t="s">
        <v>39</v>
      </c>
      <c r="B10" s="112" t="s">
        <v>40</v>
      </c>
      <c r="C10" s="113">
        <v>2000</v>
      </c>
      <c r="D10" s="113">
        <v>3000</v>
      </c>
      <c r="E10" s="113">
        <v>4500</v>
      </c>
      <c r="F10" s="113">
        <v>1500</v>
      </c>
      <c r="G10" s="378">
        <f t="shared" si="0"/>
        <v>11000</v>
      </c>
    </row>
    <row r="11" spans="1:7" ht="26.25" thickBot="1">
      <c r="A11" s="114" t="s">
        <v>41</v>
      </c>
      <c r="B11" s="112" t="s">
        <v>42</v>
      </c>
      <c r="C11" s="113">
        <v>3000</v>
      </c>
      <c r="D11" s="113">
        <v>3200</v>
      </c>
      <c r="E11" s="113">
        <v>2300</v>
      </c>
      <c r="F11" s="113">
        <v>2000</v>
      </c>
      <c r="G11" s="378">
        <f t="shared" si="0"/>
        <v>10500</v>
      </c>
    </row>
    <row r="12" spans="1:7" ht="27" thickBot="1">
      <c r="A12" s="114" t="s">
        <v>43</v>
      </c>
      <c r="B12" s="112" t="s">
        <v>44</v>
      </c>
      <c r="C12" s="113">
        <v>4300</v>
      </c>
      <c r="D12" s="113">
        <v>4200</v>
      </c>
      <c r="E12" s="113">
        <v>3000</v>
      </c>
      <c r="F12" s="113">
        <v>2500</v>
      </c>
      <c r="G12" s="378">
        <f t="shared" si="0"/>
        <v>14000</v>
      </c>
    </row>
    <row r="13" spans="1:7" ht="24.75" thickBot="1">
      <c r="A13" s="114" t="s">
        <v>45</v>
      </c>
      <c r="B13" s="112" t="s">
        <v>46</v>
      </c>
      <c r="C13" s="113">
        <v>5000</v>
      </c>
      <c r="D13" s="113">
        <v>4300</v>
      </c>
      <c r="E13" s="113">
        <v>4000</v>
      </c>
      <c r="F13" s="113">
        <v>3000</v>
      </c>
      <c r="G13" s="378">
        <f t="shared" si="0"/>
        <v>16300</v>
      </c>
    </row>
    <row r="14" spans="1:7" ht="24" thickBot="1">
      <c r="A14" s="114" t="s">
        <v>47</v>
      </c>
      <c r="B14" s="112" t="s">
        <v>48</v>
      </c>
      <c r="C14" s="113">
        <v>6000</v>
      </c>
      <c r="D14" s="113">
        <v>5000</v>
      </c>
      <c r="E14" s="113">
        <v>5000</v>
      </c>
      <c r="F14" s="113">
        <v>2400</v>
      </c>
      <c r="G14" s="378">
        <f t="shared" si="0"/>
        <v>18400</v>
      </c>
    </row>
    <row r="15" spans="1:7" ht="27" thickBot="1">
      <c r="A15" s="114" t="s">
        <v>49</v>
      </c>
      <c r="B15" s="112" t="s">
        <v>50</v>
      </c>
      <c r="C15" s="113">
        <v>7200</v>
      </c>
      <c r="D15" s="113">
        <v>6300</v>
      </c>
      <c r="E15" s="113">
        <v>5500</v>
      </c>
      <c r="F15" s="113">
        <v>4500</v>
      </c>
      <c r="G15" s="378">
        <f t="shared" si="0"/>
        <v>23500</v>
      </c>
    </row>
    <row r="16" spans="1:7" ht="25.5" thickBot="1">
      <c r="A16" s="114" t="s">
        <v>51</v>
      </c>
      <c r="B16" s="112" t="s">
        <v>52</v>
      </c>
      <c r="C16" s="113">
        <v>3000</v>
      </c>
      <c r="D16" s="113">
        <v>7000</v>
      </c>
      <c r="E16" s="113">
        <v>6200</v>
      </c>
      <c r="F16" s="113">
        <v>4700</v>
      </c>
      <c r="G16" s="378">
        <f t="shared" si="0"/>
        <v>20900</v>
      </c>
    </row>
    <row r="17" spans="1:7" ht="26.25" thickBot="1">
      <c r="A17" s="114" t="s">
        <v>53</v>
      </c>
      <c r="B17" s="112" t="s">
        <v>54</v>
      </c>
      <c r="C17" s="113">
        <v>4000</v>
      </c>
      <c r="D17" s="113">
        <v>7200</v>
      </c>
      <c r="E17" s="113">
        <v>7100</v>
      </c>
      <c r="F17" s="113">
        <v>5000</v>
      </c>
      <c r="G17" s="378">
        <f t="shared" si="0"/>
        <v>23300</v>
      </c>
    </row>
    <row r="18" spans="1:7" ht="27" thickBot="1">
      <c r="A18" s="114" t="s">
        <v>55</v>
      </c>
      <c r="B18" s="112" t="s">
        <v>56</v>
      </c>
      <c r="C18" s="113">
        <v>7800</v>
      </c>
      <c r="D18" s="113">
        <v>8100</v>
      </c>
      <c r="E18" s="113">
        <v>7500</v>
      </c>
      <c r="F18" s="113">
        <v>5500</v>
      </c>
      <c r="G18" s="378">
        <f t="shared" si="0"/>
        <v>28900</v>
      </c>
    </row>
    <row r="19" spans="1:7" ht="25.5" thickBot="1">
      <c r="A19" s="114" t="s">
        <v>57</v>
      </c>
      <c r="B19" s="112" t="s">
        <v>58</v>
      </c>
      <c r="C19" s="113">
        <v>9000</v>
      </c>
      <c r="D19" s="113">
        <v>9000</v>
      </c>
      <c r="E19" s="113">
        <v>8000</v>
      </c>
      <c r="F19" s="113">
        <v>6100</v>
      </c>
      <c r="G19" s="378">
        <f t="shared" si="0"/>
        <v>32100</v>
      </c>
    </row>
    <row r="20" spans="1:7" ht="21" customHeight="1" thickBot="1">
      <c r="A20" s="115" t="s">
        <v>59</v>
      </c>
      <c r="B20" s="116"/>
      <c r="C20" s="113">
        <f>SUM(C8:C19)</f>
        <v>53800</v>
      </c>
      <c r="D20" s="113">
        <f>SUM(D8:D19)</f>
        <v>62000</v>
      </c>
      <c r="E20" s="113">
        <f>SUM(E8:E19)</f>
        <v>60300</v>
      </c>
      <c r="F20" s="113">
        <f>SUM(F8:F19)</f>
        <v>39400</v>
      </c>
      <c r="G20" s="378">
        <f t="shared" si="0"/>
        <v>215500</v>
      </c>
    </row>
    <row r="21" spans="1:7" ht="20.25" customHeight="1" thickBot="1">
      <c r="A21" s="115" t="s">
        <v>60</v>
      </c>
      <c r="B21" s="116"/>
      <c r="C21" s="113">
        <f>MAX(C8:C19)</f>
        <v>9000</v>
      </c>
      <c r="D21" s="113">
        <f t="shared" ref="D21:F21" si="1">MAX(D8:D19)</f>
        <v>9000</v>
      </c>
      <c r="E21" s="113">
        <f t="shared" si="1"/>
        <v>8000</v>
      </c>
      <c r="F21" s="113">
        <f t="shared" si="1"/>
        <v>6100</v>
      </c>
      <c r="G21" s="378">
        <f t="shared" si="0"/>
        <v>32100</v>
      </c>
    </row>
    <row r="22" spans="1:7" ht="18.75" customHeight="1" thickBot="1">
      <c r="A22" s="115" t="s">
        <v>61</v>
      </c>
      <c r="B22" s="116"/>
      <c r="C22" s="113">
        <f>MIN(C8:C19)</f>
        <v>1000</v>
      </c>
      <c r="D22" s="113">
        <f t="shared" ref="D22:F22" si="2">MIN(D8:D19)</f>
        <v>2200</v>
      </c>
      <c r="E22" s="113">
        <f t="shared" si="2"/>
        <v>2300</v>
      </c>
      <c r="F22" s="113">
        <f t="shared" si="2"/>
        <v>1000</v>
      </c>
      <c r="G22" s="378">
        <f t="shared" si="0"/>
        <v>6500</v>
      </c>
    </row>
    <row r="23" spans="1:7" ht="21" customHeight="1" thickBot="1">
      <c r="A23" s="117" t="s">
        <v>62</v>
      </c>
      <c r="B23" s="118"/>
      <c r="C23" s="686">
        <f>AVERAGE(C8:C19)</f>
        <v>4483.333333333333</v>
      </c>
      <c r="D23" s="686">
        <f t="shared" ref="D23:F23" si="3">AVERAGE(D8:D19)</f>
        <v>5166.666666666667</v>
      </c>
      <c r="E23" s="686">
        <f t="shared" si="3"/>
        <v>5025</v>
      </c>
      <c r="F23" s="686">
        <f t="shared" si="3"/>
        <v>3283.3333333333335</v>
      </c>
      <c r="G23" s="378">
        <f t="shared" si="0"/>
        <v>17958.333333333332</v>
      </c>
    </row>
    <row r="24" spans="1:7" ht="13.5" thickTop="1"/>
    <row r="26" spans="1:7">
      <c r="A26" s="13" t="s">
        <v>24</v>
      </c>
    </row>
    <row r="27" spans="1:7">
      <c r="A27" s="13" t="s">
        <v>175</v>
      </c>
      <c r="F27" s="25"/>
    </row>
    <row r="28" spans="1:7">
      <c r="A28" s="13" t="s">
        <v>176</v>
      </c>
    </row>
    <row r="29" spans="1:7">
      <c r="A29" s="13" t="s">
        <v>177</v>
      </c>
    </row>
    <row r="30" spans="1:7">
      <c r="A30" s="13" t="s">
        <v>178</v>
      </c>
    </row>
    <row r="31" spans="1:7">
      <c r="A31" s="13" t="s">
        <v>179</v>
      </c>
    </row>
  </sheetData>
  <mergeCells count="7">
    <mergeCell ref="A3:G3"/>
    <mergeCell ref="A4:G4"/>
    <mergeCell ref="A5:G5"/>
    <mergeCell ref="A6:A7"/>
    <mergeCell ref="B6:B7"/>
    <mergeCell ref="G6:G7"/>
    <mergeCell ref="C6:F6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36"/>
  <sheetViews>
    <sheetView topLeftCell="A17" zoomScale="80" zoomScaleNormal="80" workbookViewId="0">
      <selection activeCell="I7" sqref="I7:I15"/>
    </sheetView>
  </sheetViews>
  <sheetFormatPr defaultRowHeight="12.75"/>
  <cols>
    <col min="1" max="1" width="13.7109375" customWidth="1"/>
    <col min="2" max="2" width="17.28515625" customWidth="1"/>
    <col min="3" max="3" width="13.140625" bestFit="1" customWidth="1"/>
    <col min="7" max="7" width="17" bestFit="1" customWidth="1"/>
    <col min="8" max="8" width="14.7109375" bestFit="1" customWidth="1"/>
    <col min="9" max="9" width="19" bestFit="1" customWidth="1"/>
  </cols>
  <sheetData>
    <row r="1" spans="1:9" ht="21">
      <c r="A1" s="771" t="s">
        <v>832</v>
      </c>
      <c r="B1" s="772"/>
      <c r="C1" s="772"/>
      <c r="D1" s="772"/>
      <c r="E1" s="772"/>
      <c r="F1" s="772"/>
      <c r="G1" s="772"/>
      <c r="H1" s="772"/>
      <c r="I1" s="772"/>
    </row>
    <row r="2" spans="1:9" ht="21">
      <c r="A2" s="771" t="s">
        <v>833</v>
      </c>
      <c r="B2" s="773"/>
      <c r="C2" s="773"/>
      <c r="D2" s="773"/>
      <c r="E2" s="773"/>
      <c r="F2" s="773"/>
      <c r="G2" s="773"/>
      <c r="H2" s="773"/>
      <c r="I2" s="773"/>
    </row>
    <row r="3" spans="1:9" ht="21.75" thickBot="1">
      <c r="A3" s="771" t="s">
        <v>834</v>
      </c>
      <c r="B3" s="771"/>
      <c r="C3" s="771"/>
      <c r="D3" s="771"/>
      <c r="E3" s="771"/>
      <c r="F3" s="771"/>
      <c r="G3" s="771"/>
      <c r="H3" s="771"/>
      <c r="I3" s="771"/>
    </row>
    <row r="4" spans="1:9" ht="13.5" thickTop="1">
      <c r="A4" s="774" t="s">
        <v>566</v>
      </c>
      <c r="B4" s="776" t="s">
        <v>835</v>
      </c>
      <c r="C4" s="778" t="s">
        <v>342</v>
      </c>
      <c r="D4" s="778"/>
      <c r="E4" s="778"/>
      <c r="F4" s="778"/>
      <c r="G4" s="776" t="s">
        <v>814</v>
      </c>
      <c r="H4" s="776" t="s">
        <v>836</v>
      </c>
      <c r="I4" s="776" t="s">
        <v>837</v>
      </c>
    </row>
    <row r="5" spans="1:9" ht="13.5" thickBot="1">
      <c r="A5" s="775"/>
      <c r="B5" s="777"/>
      <c r="C5" s="353" t="s">
        <v>838</v>
      </c>
      <c r="D5" s="353" t="s">
        <v>839</v>
      </c>
      <c r="E5" s="353" t="s">
        <v>840</v>
      </c>
      <c r="F5" s="353" t="s">
        <v>841</v>
      </c>
      <c r="G5" s="777"/>
      <c r="H5" s="777"/>
      <c r="I5" s="777"/>
    </row>
    <row r="6" spans="1:9" ht="13.5" thickTop="1">
      <c r="A6" s="355">
        <v>1</v>
      </c>
      <c r="B6" s="356" t="s">
        <v>842</v>
      </c>
      <c r="C6" s="357">
        <v>80</v>
      </c>
      <c r="D6" s="357">
        <v>80</v>
      </c>
      <c r="E6" s="357">
        <v>90</v>
      </c>
      <c r="F6" s="357">
        <v>60</v>
      </c>
      <c r="G6" s="354">
        <f>AVERAGE(C6:F6)</f>
        <v>77.5</v>
      </c>
      <c r="H6" s="354" t="str">
        <f>IF(G6&gt;70,"LULUS","GAGAL")</f>
        <v>LULUS</v>
      </c>
      <c r="I6" s="354" t="str">
        <f>IF(G6&lt;60,"D",IF(G6&gt;60&lt;80,"C",IF(G6&gt;80&lt;90,"B","A")))</f>
        <v>A</v>
      </c>
    </row>
    <row r="7" spans="1:9">
      <c r="A7" s="358">
        <v>2</v>
      </c>
      <c r="B7" s="359" t="s">
        <v>843</v>
      </c>
      <c r="C7" s="360">
        <v>60</v>
      </c>
      <c r="D7" s="360">
        <v>50</v>
      </c>
      <c r="E7" s="360">
        <v>70</v>
      </c>
      <c r="F7" s="360">
        <v>52</v>
      </c>
      <c r="G7" s="354">
        <f t="shared" ref="G7:G15" si="0">AVERAGE(C7:F7)</f>
        <v>58</v>
      </c>
      <c r="H7" s="354" t="str">
        <f t="shared" ref="H7:H15" si="1">IF(G7&gt;70,"LULUS","GAGAL")</f>
        <v>GAGAL</v>
      </c>
      <c r="I7" s="354" t="str">
        <f>IF(G7&lt;60,"D",IF(G7&lt;=80,"C",IF(G7&lt;=90,"B","A")))</f>
        <v>D</v>
      </c>
    </row>
    <row r="8" spans="1:9">
      <c r="A8" s="358">
        <v>3</v>
      </c>
      <c r="B8" s="359" t="s">
        <v>844</v>
      </c>
      <c r="C8" s="360">
        <v>56</v>
      </c>
      <c r="D8" s="360">
        <v>60</v>
      </c>
      <c r="E8" s="360">
        <v>85</v>
      </c>
      <c r="F8" s="360">
        <v>40</v>
      </c>
      <c r="G8" s="354">
        <f t="shared" si="0"/>
        <v>60.25</v>
      </c>
      <c r="H8" s="354" t="str">
        <f t="shared" si="1"/>
        <v>GAGAL</v>
      </c>
      <c r="I8" s="354" t="str">
        <f t="shared" ref="I8:I15" si="2">IF(G8&lt;60,"D",IF(G8&lt;=80,"C",IF(G8&lt;=90,"B","A")))</f>
        <v>C</v>
      </c>
    </row>
    <row r="9" spans="1:9">
      <c r="A9" s="358">
        <v>4</v>
      </c>
      <c r="B9" s="359" t="s">
        <v>845</v>
      </c>
      <c r="C9" s="360">
        <v>80</v>
      </c>
      <c r="D9" s="360">
        <v>55</v>
      </c>
      <c r="E9" s="360">
        <v>40</v>
      </c>
      <c r="F9" s="360">
        <v>40</v>
      </c>
      <c r="G9" s="354">
        <f t="shared" si="0"/>
        <v>53.75</v>
      </c>
      <c r="H9" s="354" t="str">
        <f t="shared" si="1"/>
        <v>GAGAL</v>
      </c>
      <c r="I9" s="354" t="str">
        <f t="shared" si="2"/>
        <v>D</v>
      </c>
    </row>
    <row r="10" spans="1:9">
      <c r="A10" s="358">
        <v>5</v>
      </c>
      <c r="B10" s="359" t="s">
        <v>763</v>
      </c>
      <c r="C10" s="360">
        <v>40</v>
      </c>
      <c r="D10" s="360">
        <v>80</v>
      </c>
      <c r="E10" s="360">
        <v>40</v>
      </c>
      <c r="F10" s="360">
        <v>50</v>
      </c>
      <c r="G10" s="354">
        <f t="shared" si="0"/>
        <v>52.5</v>
      </c>
      <c r="H10" s="354" t="str">
        <f t="shared" si="1"/>
        <v>GAGAL</v>
      </c>
      <c r="I10" s="354" t="str">
        <f t="shared" si="2"/>
        <v>D</v>
      </c>
    </row>
    <row r="11" spans="1:9">
      <c r="A11" s="358">
        <v>6</v>
      </c>
      <c r="B11" s="359" t="s">
        <v>765</v>
      </c>
      <c r="C11" s="360">
        <v>75</v>
      </c>
      <c r="D11" s="360">
        <v>80</v>
      </c>
      <c r="E11" s="360">
        <v>75</v>
      </c>
      <c r="F11" s="360">
        <v>50</v>
      </c>
      <c r="G11" s="354">
        <f t="shared" si="0"/>
        <v>70</v>
      </c>
      <c r="H11" s="354" t="str">
        <f t="shared" si="1"/>
        <v>GAGAL</v>
      </c>
      <c r="I11" s="354" t="str">
        <f t="shared" si="2"/>
        <v>C</v>
      </c>
    </row>
    <row r="12" spans="1:9">
      <c r="A12" s="358">
        <v>7</v>
      </c>
      <c r="B12" s="359" t="s">
        <v>846</v>
      </c>
      <c r="C12" s="360">
        <v>60</v>
      </c>
      <c r="D12" s="360">
        <v>56</v>
      </c>
      <c r="E12" s="360">
        <v>40</v>
      </c>
      <c r="F12" s="360">
        <v>85</v>
      </c>
      <c r="G12" s="354">
        <f t="shared" si="0"/>
        <v>60.25</v>
      </c>
      <c r="H12" s="354" t="str">
        <f t="shared" si="1"/>
        <v>GAGAL</v>
      </c>
      <c r="I12" s="354" t="str">
        <f t="shared" si="2"/>
        <v>C</v>
      </c>
    </row>
    <row r="13" spans="1:9">
      <c r="A13" s="358">
        <v>8</v>
      </c>
      <c r="B13" s="359" t="s">
        <v>847</v>
      </c>
      <c r="C13" s="360">
        <v>55</v>
      </c>
      <c r="D13" s="360">
        <v>80</v>
      </c>
      <c r="E13" s="360">
        <v>40</v>
      </c>
      <c r="F13" s="360">
        <v>40</v>
      </c>
      <c r="G13" s="354">
        <f t="shared" si="0"/>
        <v>53.75</v>
      </c>
      <c r="H13" s="354" t="str">
        <f t="shared" si="1"/>
        <v>GAGAL</v>
      </c>
      <c r="I13" s="354" t="str">
        <f t="shared" si="2"/>
        <v>D</v>
      </c>
    </row>
    <row r="14" spans="1:9">
      <c r="A14" s="358">
        <v>9</v>
      </c>
      <c r="B14" s="359" t="s">
        <v>848</v>
      </c>
      <c r="C14" s="360">
        <v>80</v>
      </c>
      <c r="D14" s="360">
        <v>40</v>
      </c>
      <c r="E14" s="360">
        <v>50</v>
      </c>
      <c r="F14" s="360">
        <v>40</v>
      </c>
      <c r="G14" s="354">
        <f t="shared" si="0"/>
        <v>52.5</v>
      </c>
      <c r="H14" s="354" t="str">
        <f t="shared" si="1"/>
        <v>GAGAL</v>
      </c>
      <c r="I14" s="354" t="str">
        <f t="shared" si="2"/>
        <v>D</v>
      </c>
    </row>
    <row r="15" spans="1:9" ht="13.5" thickBot="1">
      <c r="A15" s="361">
        <v>10</v>
      </c>
      <c r="B15" s="362" t="s">
        <v>771</v>
      </c>
      <c r="C15" s="363">
        <v>60</v>
      </c>
      <c r="D15" s="363">
        <v>75</v>
      </c>
      <c r="E15" s="363">
        <v>75</v>
      </c>
      <c r="F15" s="363">
        <v>60</v>
      </c>
      <c r="G15" s="354">
        <f t="shared" si="0"/>
        <v>67.5</v>
      </c>
      <c r="H15" s="354" t="str">
        <f t="shared" si="1"/>
        <v>GAGAL</v>
      </c>
      <c r="I15" s="354" t="str">
        <f t="shared" si="2"/>
        <v>C</v>
      </c>
    </row>
    <row r="16" spans="1:9" ht="14.25" thickTop="1" thickBot="1">
      <c r="A16" s="84"/>
    </row>
    <row r="17" spans="1:6">
      <c r="B17" s="370" t="s">
        <v>849</v>
      </c>
      <c r="C17" s="367">
        <f>MAX(C6:C15)</f>
        <v>80</v>
      </c>
      <c r="D17" s="367">
        <f>MAX(D6:D15)</f>
        <v>80</v>
      </c>
      <c r="E17" s="367">
        <f>MAX(E6:E15)</f>
        <v>90</v>
      </c>
      <c r="F17" s="367">
        <f>MAX(F6:F15)</f>
        <v>85</v>
      </c>
    </row>
    <row r="18" spans="1:6">
      <c r="B18" s="371" t="s">
        <v>850</v>
      </c>
      <c r="C18" s="368">
        <f>MIN(C6:C15)</f>
        <v>40</v>
      </c>
      <c r="D18" s="368">
        <f>MIN(D6:D15)</f>
        <v>40</v>
      </c>
      <c r="E18" s="368">
        <f>MIN(E6:E15)</f>
        <v>40</v>
      </c>
      <c r="F18" s="368">
        <f>MIN(F6:F15)</f>
        <v>40</v>
      </c>
    </row>
    <row r="19" spans="1:6" ht="13.5" thickBot="1">
      <c r="B19" s="372" t="s">
        <v>409</v>
      </c>
      <c r="C19" s="369">
        <f>AVERAGE(C6:C15)</f>
        <v>64.599999999999994</v>
      </c>
      <c r="D19" s="369">
        <f>AVERAGE(D6:D15)</f>
        <v>65.599999999999994</v>
      </c>
      <c r="E19" s="369">
        <f>AVERAGE(E6:E15)</f>
        <v>60.5</v>
      </c>
      <c r="F19" s="369">
        <f>AVERAGE(F6:F15)</f>
        <v>51.7</v>
      </c>
    </row>
    <row r="22" spans="1:6">
      <c r="A22" s="82" t="s">
        <v>851</v>
      </c>
    </row>
    <row r="23" spans="1:6">
      <c r="A23" s="80" t="s">
        <v>836</v>
      </c>
      <c r="B23" t="s">
        <v>852</v>
      </c>
    </row>
    <row r="24" spans="1:6">
      <c r="B24" t="s">
        <v>853</v>
      </c>
    </row>
    <row r="26" spans="1:6">
      <c r="A26" s="80" t="s">
        <v>837</v>
      </c>
      <c r="B26" s="80" t="s">
        <v>946</v>
      </c>
      <c r="C26" s="80"/>
    </row>
    <row r="27" spans="1:6">
      <c r="B27" t="s">
        <v>854</v>
      </c>
    </row>
    <row r="28" spans="1:6">
      <c r="B28" t="s">
        <v>855</v>
      </c>
    </row>
    <row r="29" spans="1:6">
      <c r="B29" t="s">
        <v>856</v>
      </c>
    </row>
    <row r="30" spans="1:6">
      <c r="B30" t="s">
        <v>857</v>
      </c>
    </row>
    <row r="32" spans="1:6">
      <c r="B32" s="80" t="s">
        <v>858</v>
      </c>
      <c r="C32" s="74" t="s">
        <v>859</v>
      </c>
    </row>
    <row r="33" spans="2:3">
      <c r="B33" s="80" t="s">
        <v>860</v>
      </c>
      <c r="C33" s="74" t="s">
        <v>861</v>
      </c>
    </row>
    <row r="34" spans="2:3">
      <c r="B34" s="80" t="s">
        <v>862</v>
      </c>
      <c r="C34" s="74" t="s">
        <v>863</v>
      </c>
    </row>
    <row r="35" spans="2:3">
      <c r="B35" s="80"/>
    </row>
    <row r="36" spans="2:3">
      <c r="B36" s="80" t="s">
        <v>371</v>
      </c>
      <c r="C36" s="74" t="s">
        <v>864</v>
      </c>
    </row>
  </sheetData>
  <mergeCells count="9">
    <mergeCell ref="A1:I1"/>
    <mergeCell ref="A2:I2"/>
    <mergeCell ref="A3:I3"/>
    <mergeCell ref="A4:A5"/>
    <mergeCell ref="B4:B5"/>
    <mergeCell ref="C4:F4"/>
    <mergeCell ref="G4:G5"/>
    <mergeCell ref="H4:H5"/>
    <mergeCell ref="I4:I5"/>
  </mergeCells>
  <phoneticPr fontId="5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5"/>
  <sheetViews>
    <sheetView topLeftCell="A9" workbookViewId="0">
      <selection activeCell="J5" sqref="J5:J19"/>
    </sheetView>
  </sheetViews>
  <sheetFormatPr defaultRowHeight="12.75"/>
  <cols>
    <col min="2" max="2" width="13.140625" customWidth="1"/>
    <col min="3" max="3" width="24.7109375" customWidth="1"/>
    <col min="4" max="4" width="10.7109375" customWidth="1"/>
    <col min="5" max="5" width="11" customWidth="1"/>
    <col min="6" max="6" width="10.7109375" customWidth="1"/>
    <col min="7" max="7" width="13.28515625" customWidth="1"/>
    <col min="8" max="8" width="16" customWidth="1"/>
    <col min="9" max="9" width="13.5703125" customWidth="1"/>
    <col min="10" max="10" width="11.42578125" customWidth="1"/>
  </cols>
  <sheetData>
    <row r="1" spans="1:10" ht="21">
      <c r="A1" s="85" t="s">
        <v>865</v>
      </c>
      <c r="B1" s="85"/>
      <c r="C1" s="86"/>
      <c r="F1" s="6"/>
      <c r="J1" s="35"/>
    </row>
    <row r="2" spans="1:10" ht="21.75" thickBot="1">
      <c r="A2" s="87" t="s">
        <v>866</v>
      </c>
      <c r="B2" s="87"/>
      <c r="C2" s="87"/>
      <c r="F2" s="6"/>
      <c r="J2" s="35"/>
    </row>
    <row r="3" spans="1:10">
      <c r="A3" s="779" t="s">
        <v>566</v>
      </c>
      <c r="B3" s="781" t="s">
        <v>569</v>
      </c>
      <c r="C3" s="781" t="s">
        <v>867</v>
      </c>
      <c r="D3" s="781" t="s">
        <v>868</v>
      </c>
      <c r="E3" s="781" t="s">
        <v>869</v>
      </c>
      <c r="F3" s="781" t="s">
        <v>870</v>
      </c>
      <c r="G3" s="781" t="s">
        <v>571</v>
      </c>
      <c r="H3" s="781" t="s">
        <v>871</v>
      </c>
      <c r="I3" s="781" t="s">
        <v>872</v>
      </c>
      <c r="J3" s="783" t="s">
        <v>742</v>
      </c>
    </row>
    <row r="4" spans="1:10" ht="20.25" customHeight="1">
      <c r="A4" s="780"/>
      <c r="B4" s="782"/>
      <c r="C4" s="782"/>
      <c r="D4" s="782"/>
      <c r="E4" s="782"/>
      <c r="F4" s="782"/>
      <c r="G4" s="782"/>
      <c r="H4" s="782"/>
      <c r="I4" s="782"/>
      <c r="J4" s="784"/>
    </row>
    <row r="5" spans="1:10">
      <c r="A5" s="374">
        <v>1</v>
      </c>
      <c r="B5" s="346" t="s">
        <v>873</v>
      </c>
      <c r="C5" s="346" t="s">
        <v>874</v>
      </c>
      <c r="D5" s="375">
        <v>12</v>
      </c>
      <c r="E5" s="375">
        <v>12</v>
      </c>
      <c r="F5" s="167">
        <f>D5-E5</f>
        <v>0</v>
      </c>
      <c r="G5" s="121">
        <v>35000</v>
      </c>
      <c r="H5" s="617">
        <f>E5*G5</f>
        <v>420000</v>
      </c>
      <c r="I5" s="88">
        <v>0.1</v>
      </c>
      <c r="J5" s="696">
        <f>H5-(I5*H5)</f>
        <v>378000</v>
      </c>
    </row>
    <row r="6" spans="1:10">
      <c r="A6" s="374">
        <v>2</v>
      </c>
      <c r="B6" s="346" t="s">
        <v>875</v>
      </c>
      <c r="C6" s="346" t="s">
        <v>876</v>
      </c>
      <c r="D6" s="375">
        <v>13</v>
      </c>
      <c r="E6" s="375">
        <v>9</v>
      </c>
      <c r="F6" s="167">
        <f t="shared" ref="F6:F19" si="0">D6-E6</f>
        <v>4</v>
      </c>
      <c r="G6" s="121">
        <v>30000</v>
      </c>
      <c r="H6" s="617">
        <f>E6*G6</f>
        <v>270000</v>
      </c>
      <c r="I6" s="88">
        <v>0.1</v>
      </c>
      <c r="J6" s="696">
        <f t="shared" ref="J6:J19" si="1">H6-(I6*H6)</f>
        <v>243000</v>
      </c>
    </row>
    <row r="7" spans="1:10">
      <c r="A7" s="374">
        <v>3</v>
      </c>
      <c r="B7" s="346" t="s">
        <v>877</v>
      </c>
      <c r="C7" s="346" t="s">
        <v>878</v>
      </c>
      <c r="D7" s="375">
        <v>26</v>
      </c>
      <c r="E7" s="375">
        <v>19</v>
      </c>
      <c r="F7" s="167">
        <f t="shared" si="0"/>
        <v>7</v>
      </c>
      <c r="G7" s="121">
        <v>25000</v>
      </c>
      <c r="H7" s="617">
        <f t="shared" ref="H7:H19" si="2">E7*G7</f>
        <v>475000</v>
      </c>
      <c r="I7" s="88">
        <v>0.1</v>
      </c>
      <c r="J7" s="696">
        <f t="shared" si="1"/>
        <v>427500</v>
      </c>
    </row>
    <row r="8" spans="1:10">
      <c r="A8" s="374">
        <v>4</v>
      </c>
      <c r="B8" s="346" t="s">
        <v>879</v>
      </c>
      <c r="C8" s="346" t="s">
        <v>880</v>
      </c>
      <c r="D8" s="375">
        <v>25</v>
      </c>
      <c r="E8" s="375">
        <v>11</v>
      </c>
      <c r="F8" s="167">
        <f t="shared" si="0"/>
        <v>14</v>
      </c>
      <c r="G8" s="121">
        <v>5000</v>
      </c>
      <c r="H8" s="617">
        <f t="shared" si="2"/>
        <v>55000</v>
      </c>
      <c r="I8" s="88">
        <v>0.1</v>
      </c>
      <c r="J8" s="696">
        <f t="shared" si="1"/>
        <v>49500</v>
      </c>
    </row>
    <row r="9" spans="1:10">
      <c r="A9" s="374">
        <v>5</v>
      </c>
      <c r="B9" s="346" t="s">
        <v>881</v>
      </c>
      <c r="C9" s="346" t="s">
        <v>882</v>
      </c>
      <c r="D9" s="375">
        <v>43</v>
      </c>
      <c r="E9" s="375">
        <v>25</v>
      </c>
      <c r="F9" s="167">
        <f t="shared" si="0"/>
        <v>18</v>
      </c>
      <c r="G9" s="121">
        <v>6000</v>
      </c>
      <c r="H9" s="617">
        <f t="shared" si="2"/>
        <v>150000</v>
      </c>
      <c r="I9" s="88">
        <v>0.1</v>
      </c>
      <c r="J9" s="696">
        <f t="shared" si="1"/>
        <v>135000</v>
      </c>
    </row>
    <row r="10" spans="1:10">
      <c r="A10" s="374">
        <v>6</v>
      </c>
      <c r="B10" s="346" t="s">
        <v>883</v>
      </c>
      <c r="C10" s="346" t="s">
        <v>884</v>
      </c>
      <c r="D10" s="375">
        <v>75</v>
      </c>
      <c r="E10" s="375">
        <v>20</v>
      </c>
      <c r="F10" s="167">
        <f t="shared" si="0"/>
        <v>55</v>
      </c>
      <c r="G10" s="121">
        <v>2500</v>
      </c>
      <c r="H10" s="617">
        <f t="shared" si="2"/>
        <v>50000</v>
      </c>
      <c r="I10" s="88">
        <v>0.1</v>
      </c>
      <c r="J10" s="696">
        <f t="shared" si="1"/>
        <v>45000</v>
      </c>
    </row>
    <row r="11" spans="1:10">
      <c r="A11" s="374">
        <v>7</v>
      </c>
      <c r="B11" s="346" t="s">
        <v>885</v>
      </c>
      <c r="C11" s="346" t="s">
        <v>886</v>
      </c>
      <c r="D11" s="375">
        <v>10</v>
      </c>
      <c r="E11" s="375">
        <v>9</v>
      </c>
      <c r="F11" s="167">
        <f t="shared" si="0"/>
        <v>1</v>
      </c>
      <c r="G11" s="121">
        <v>3000</v>
      </c>
      <c r="H11" s="617">
        <f t="shared" si="2"/>
        <v>27000</v>
      </c>
      <c r="I11" s="88">
        <v>0.1</v>
      </c>
      <c r="J11" s="696">
        <f t="shared" si="1"/>
        <v>24300</v>
      </c>
    </row>
    <row r="12" spans="1:10">
      <c r="A12" s="374">
        <v>8</v>
      </c>
      <c r="B12" s="346" t="s">
        <v>887</v>
      </c>
      <c r="C12" s="346" t="s">
        <v>888</v>
      </c>
      <c r="D12" s="375">
        <v>18</v>
      </c>
      <c r="E12" s="375">
        <v>12</v>
      </c>
      <c r="F12" s="167">
        <f t="shared" si="0"/>
        <v>6</v>
      </c>
      <c r="G12" s="121">
        <v>2500</v>
      </c>
      <c r="H12" s="617">
        <f t="shared" si="2"/>
        <v>30000</v>
      </c>
      <c r="I12" s="88">
        <v>0.1</v>
      </c>
      <c r="J12" s="696">
        <f t="shared" si="1"/>
        <v>27000</v>
      </c>
    </row>
    <row r="13" spans="1:10">
      <c r="A13" s="374">
        <v>9</v>
      </c>
      <c r="B13" s="346" t="s">
        <v>889</v>
      </c>
      <c r="C13" s="346" t="s">
        <v>880</v>
      </c>
      <c r="D13" s="375">
        <v>32</v>
      </c>
      <c r="E13" s="375">
        <v>10</v>
      </c>
      <c r="F13" s="167">
        <f t="shared" si="0"/>
        <v>22</v>
      </c>
      <c r="G13" s="121">
        <v>1500</v>
      </c>
      <c r="H13" s="617">
        <f t="shared" si="2"/>
        <v>15000</v>
      </c>
      <c r="I13" s="88">
        <v>0.1</v>
      </c>
      <c r="J13" s="696">
        <f t="shared" si="1"/>
        <v>13500</v>
      </c>
    </row>
    <row r="14" spans="1:10">
      <c r="A14" s="374">
        <v>10</v>
      </c>
      <c r="B14" s="346" t="s">
        <v>890</v>
      </c>
      <c r="C14" s="346" t="s">
        <v>882</v>
      </c>
      <c r="D14" s="375">
        <v>45</v>
      </c>
      <c r="E14" s="375">
        <v>21</v>
      </c>
      <c r="F14" s="167">
        <f t="shared" si="0"/>
        <v>24</v>
      </c>
      <c r="G14" s="121">
        <v>65000</v>
      </c>
      <c r="H14" s="617">
        <f t="shared" si="2"/>
        <v>1365000</v>
      </c>
      <c r="I14" s="88">
        <v>0.1</v>
      </c>
      <c r="J14" s="696">
        <f t="shared" si="1"/>
        <v>1228500</v>
      </c>
    </row>
    <row r="15" spans="1:10">
      <c r="A15" s="374">
        <v>11</v>
      </c>
      <c r="B15" s="346" t="s">
        <v>891</v>
      </c>
      <c r="C15" s="346" t="s">
        <v>888</v>
      </c>
      <c r="D15" s="375">
        <v>39</v>
      </c>
      <c r="E15" s="375">
        <v>18</v>
      </c>
      <c r="F15" s="167">
        <f t="shared" si="0"/>
        <v>21</v>
      </c>
      <c r="G15" s="121">
        <v>7500</v>
      </c>
      <c r="H15" s="617">
        <f t="shared" si="2"/>
        <v>135000</v>
      </c>
      <c r="I15" s="88">
        <v>0.1</v>
      </c>
      <c r="J15" s="696">
        <f t="shared" si="1"/>
        <v>121500</v>
      </c>
    </row>
    <row r="16" spans="1:10">
      <c r="A16" s="374">
        <v>12</v>
      </c>
      <c r="B16" s="346" t="s">
        <v>892</v>
      </c>
      <c r="C16" s="346" t="s">
        <v>878</v>
      </c>
      <c r="D16" s="375">
        <v>56</v>
      </c>
      <c r="E16" s="375">
        <v>44</v>
      </c>
      <c r="F16" s="167">
        <f t="shared" si="0"/>
        <v>12</v>
      </c>
      <c r="G16" s="121">
        <v>7300</v>
      </c>
      <c r="H16" s="617">
        <f t="shared" si="2"/>
        <v>321200</v>
      </c>
      <c r="I16" s="88">
        <v>0.1</v>
      </c>
      <c r="J16" s="696">
        <f t="shared" si="1"/>
        <v>289080</v>
      </c>
    </row>
    <row r="17" spans="1:10">
      <c r="A17" s="374">
        <v>13</v>
      </c>
      <c r="B17" s="346" t="s">
        <v>893</v>
      </c>
      <c r="C17" s="346" t="s">
        <v>876</v>
      </c>
      <c r="D17" s="375">
        <v>55</v>
      </c>
      <c r="E17" s="375">
        <v>31</v>
      </c>
      <c r="F17" s="167">
        <f t="shared" si="0"/>
        <v>24</v>
      </c>
      <c r="G17" s="121">
        <v>15000</v>
      </c>
      <c r="H17" s="617">
        <f t="shared" si="2"/>
        <v>465000</v>
      </c>
      <c r="I17" s="88">
        <v>0.1</v>
      </c>
      <c r="J17" s="696">
        <f t="shared" si="1"/>
        <v>418500</v>
      </c>
    </row>
    <row r="18" spans="1:10">
      <c r="A18" s="374">
        <v>14</v>
      </c>
      <c r="B18" s="346" t="s">
        <v>894</v>
      </c>
      <c r="C18" s="346" t="s">
        <v>882</v>
      </c>
      <c r="D18" s="375">
        <v>28</v>
      </c>
      <c r="E18" s="375">
        <v>6</v>
      </c>
      <c r="F18" s="167">
        <f t="shared" si="0"/>
        <v>22</v>
      </c>
      <c r="G18" s="121">
        <v>10000</v>
      </c>
      <c r="H18" s="617">
        <f t="shared" si="2"/>
        <v>60000</v>
      </c>
      <c r="I18" s="88">
        <v>0.1</v>
      </c>
      <c r="J18" s="696">
        <f t="shared" si="1"/>
        <v>54000</v>
      </c>
    </row>
    <row r="19" spans="1:10" ht="13.5" thickBot="1">
      <c r="A19" s="376">
        <v>15</v>
      </c>
      <c r="B19" s="348" t="s">
        <v>895</v>
      </c>
      <c r="C19" s="348" t="s">
        <v>896</v>
      </c>
      <c r="D19" s="377">
        <v>49</v>
      </c>
      <c r="E19" s="377">
        <v>4</v>
      </c>
      <c r="F19" s="167">
        <f t="shared" si="0"/>
        <v>45</v>
      </c>
      <c r="G19" s="121">
        <v>9500</v>
      </c>
      <c r="H19" s="617">
        <f t="shared" si="2"/>
        <v>38000</v>
      </c>
      <c r="I19" s="88">
        <v>0.1</v>
      </c>
      <c r="J19" s="696">
        <f t="shared" si="1"/>
        <v>34200</v>
      </c>
    </row>
    <row r="22" spans="1:10">
      <c r="A22" s="82" t="s">
        <v>627</v>
      </c>
    </row>
    <row r="23" spans="1:10">
      <c r="A23" s="80">
        <v>1</v>
      </c>
      <c r="B23" s="80" t="s">
        <v>899</v>
      </c>
      <c r="C23" s="74" t="s">
        <v>900</v>
      </c>
    </row>
    <row r="24" spans="1:10">
      <c r="A24" s="80">
        <v>2</v>
      </c>
      <c r="B24" s="80" t="s">
        <v>897</v>
      </c>
      <c r="C24" s="74" t="s">
        <v>898</v>
      </c>
    </row>
    <row r="25" spans="1:10">
      <c r="A25" s="80">
        <v>3</v>
      </c>
      <c r="B25" s="80" t="s">
        <v>901</v>
      </c>
      <c r="C25" s="74" t="s">
        <v>902</v>
      </c>
    </row>
  </sheetData>
  <mergeCells count="10">
    <mergeCell ref="J3:J4"/>
    <mergeCell ref="E3:E4"/>
    <mergeCell ref="F3:F4"/>
    <mergeCell ref="G3:G4"/>
    <mergeCell ref="H3:H4"/>
    <mergeCell ref="A3:A4"/>
    <mergeCell ref="B3:B4"/>
    <mergeCell ref="C3:C4"/>
    <mergeCell ref="D3:D4"/>
    <mergeCell ref="I3:I4"/>
  </mergeCells>
  <phoneticPr fontId="5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2"/>
  <sheetViews>
    <sheetView topLeftCell="A21" zoomScale="98" zoomScaleNormal="98" workbookViewId="0">
      <selection activeCell="L9" sqref="L9"/>
    </sheetView>
  </sheetViews>
  <sheetFormatPr defaultRowHeight="12.75"/>
  <cols>
    <col min="2" max="2" width="12.85546875" customWidth="1"/>
    <col min="4" max="4" width="12.140625" bestFit="1" customWidth="1"/>
    <col min="5" max="5" width="15.5703125" customWidth="1"/>
    <col min="6" max="6" width="12.7109375" customWidth="1"/>
    <col min="7" max="7" width="13.7109375" customWidth="1"/>
    <col min="8" max="8" width="12.42578125" customWidth="1"/>
    <col min="9" max="9" width="17" customWidth="1"/>
    <col min="10" max="10" width="17.140625" customWidth="1"/>
    <col min="11" max="11" width="16.85546875" customWidth="1"/>
  </cols>
  <sheetData>
    <row r="1" spans="1:11" ht="15">
      <c r="A1" s="785" t="s">
        <v>903</v>
      </c>
      <c r="B1" s="785"/>
      <c r="C1" s="785"/>
      <c r="D1" s="785"/>
      <c r="E1" s="785"/>
      <c r="F1" s="785"/>
      <c r="G1" s="785"/>
      <c r="H1" s="785"/>
      <c r="I1" s="785"/>
      <c r="J1" s="785"/>
      <c r="K1" s="785"/>
    </row>
    <row r="2" spans="1:11" ht="15">
      <c r="A2" s="785" t="s">
        <v>904</v>
      </c>
      <c r="B2" s="785"/>
      <c r="C2" s="785"/>
      <c r="D2" s="785"/>
      <c r="E2" s="785"/>
      <c r="F2" s="785"/>
      <c r="G2" s="785"/>
      <c r="H2" s="785"/>
      <c r="I2" s="785"/>
      <c r="J2" s="785"/>
      <c r="K2" s="785"/>
    </row>
    <row r="3" spans="1:11" ht="15">
      <c r="A3" s="785" t="s">
        <v>905</v>
      </c>
      <c r="B3" s="785"/>
      <c r="C3" s="785"/>
      <c r="D3" s="785"/>
      <c r="E3" s="785"/>
      <c r="F3" s="785"/>
      <c r="G3" s="785"/>
      <c r="H3" s="785"/>
      <c r="I3" s="785"/>
      <c r="J3" s="785"/>
      <c r="K3" s="785"/>
    </row>
    <row r="5" spans="1:11">
      <c r="A5" s="786" t="s">
        <v>2</v>
      </c>
      <c r="B5" s="788" t="s">
        <v>103</v>
      </c>
      <c r="C5" s="788" t="s">
        <v>906</v>
      </c>
      <c r="D5" s="788" t="s">
        <v>69</v>
      </c>
      <c r="E5" s="788" t="s">
        <v>907</v>
      </c>
      <c r="F5" s="788" t="s">
        <v>612</v>
      </c>
      <c r="G5" s="790" t="s">
        <v>908</v>
      </c>
      <c r="H5" s="788" t="s">
        <v>202</v>
      </c>
      <c r="I5" s="788" t="s">
        <v>909</v>
      </c>
      <c r="J5" s="788" t="s">
        <v>74</v>
      </c>
      <c r="K5" s="792" t="s">
        <v>613</v>
      </c>
    </row>
    <row r="6" spans="1:11" ht="13.5" thickBot="1">
      <c r="A6" s="787"/>
      <c r="B6" s="789"/>
      <c r="C6" s="789"/>
      <c r="D6" s="789"/>
      <c r="E6" s="789"/>
      <c r="F6" s="789"/>
      <c r="G6" s="791"/>
      <c r="H6" s="789"/>
      <c r="I6" s="789"/>
      <c r="J6" s="789"/>
      <c r="K6" s="793"/>
    </row>
    <row r="7" spans="1:11" ht="13.5" thickTop="1">
      <c r="A7" s="387">
        <v>1</v>
      </c>
      <c r="B7" s="388" t="s">
        <v>910</v>
      </c>
      <c r="C7" s="388" t="s">
        <v>256</v>
      </c>
      <c r="D7" s="388" t="s">
        <v>911</v>
      </c>
      <c r="E7" s="389">
        <v>750000</v>
      </c>
      <c r="F7" s="386">
        <f>30%*E7</f>
        <v>225000</v>
      </c>
      <c r="G7" s="618">
        <f>15%*E7</f>
        <v>112500</v>
      </c>
      <c r="H7" s="619">
        <f>20%*(E7+F7)</f>
        <v>195000</v>
      </c>
      <c r="I7" s="621">
        <f>(E7+F7+H7)-G7</f>
        <v>1057500</v>
      </c>
      <c r="J7" s="632">
        <f>IF(I7&gt;900000,5%*E7,IF(I7&gt;400000,2.5%*E7,1%*E7))</f>
        <v>37500</v>
      </c>
      <c r="K7" s="623">
        <f>I7-J7</f>
        <v>1020000</v>
      </c>
    </row>
    <row r="8" spans="1:11">
      <c r="A8" s="390">
        <v>2</v>
      </c>
      <c r="B8" s="391" t="s">
        <v>912</v>
      </c>
      <c r="C8" s="391" t="s">
        <v>256</v>
      </c>
      <c r="D8" s="391" t="s">
        <v>911</v>
      </c>
      <c r="E8" s="392">
        <v>600000</v>
      </c>
      <c r="F8" s="386">
        <f>30%*E8</f>
        <v>180000</v>
      </c>
      <c r="G8" s="386">
        <f>15%*E8</f>
        <v>90000</v>
      </c>
      <c r="H8" s="620">
        <f>20%*(E8+F8)</f>
        <v>156000</v>
      </c>
      <c r="I8" s="622">
        <f>(E8+F8+H8)-G8</f>
        <v>846000</v>
      </c>
      <c r="J8" s="632">
        <f>IF(I8&gt;900000,5%*E8,IF(I8&gt;4000000,2.5%*E8,1%*E8))</f>
        <v>6000</v>
      </c>
      <c r="K8" s="624">
        <f>I8-J8</f>
        <v>840000</v>
      </c>
    </row>
    <row r="9" spans="1:11">
      <c r="A9" s="390">
        <v>3</v>
      </c>
      <c r="B9" s="391" t="s">
        <v>913</v>
      </c>
      <c r="C9" s="391" t="s">
        <v>16</v>
      </c>
      <c r="D9" s="391" t="s">
        <v>911</v>
      </c>
      <c r="E9" s="392">
        <v>300000</v>
      </c>
      <c r="F9" s="386">
        <f t="shared" ref="F9:F16" si="0">30%*E9</f>
        <v>90000</v>
      </c>
      <c r="G9" s="386">
        <f t="shared" ref="G9:G16" si="1">15%*E9</f>
        <v>45000</v>
      </c>
      <c r="H9" s="620">
        <f t="shared" ref="H9:H16" si="2">20%*(E9+F9)</f>
        <v>78000</v>
      </c>
      <c r="I9" s="622">
        <f t="shared" ref="I9:I16" si="3">(E9+F9+H9)-G9</f>
        <v>423000</v>
      </c>
      <c r="J9" s="632">
        <f t="shared" ref="J9:J16" si="4">IF(I9&gt;900000,5%*E9,IF(I9&gt;4000000,2.5%*E9,1%*E9))</f>
        <v>3000</v>
      </c>
      <c r="K9" s="624">
        <f t="shared" ref="K9:K16" si="5">I9-J9</f>
        <v>420000</v>
      </c>
    </row>
    <row r="10" spans="1:11">
      <c r="A10" s="390">
        <v>4</v>
      </c>
      <c r="B10" s="391" t="s">
        <v>914</v>
      </c>
      <c r="C10" s="391" t="s">
        <v>256</v>
      </c>
      <c r="D10" s="391" t="s">
        <v>915</v>
      </c>
      <c r="E10" s="392">
        <v>300000</v>
      </c>
      <c r="F10" s="386">
        <f t="shared" si="0"/>
        <v>90000</v>
      </c>
      <c r="G10" s="386">
        <f t="shared" si="1"/>
        <v>45000</v>
      </c>
      <c r="H10" s="620">
        <f t="shared" si="2"/>
        <v>78000</v>
      </c>
      <c r="I10" s="622">
        <f t="shared" si="3"/>
        <v>423000</v>
      </c>
      <c r="J10" s="632">
        <f t="shared" si="4"/>
        <v>3000</v>
      </c>
      <c r="K10" s="624">
        <f t="shared" si="5"/>
        <v>420000</v>
      </c>
    </row>
    <row r="11" spans="1:11">
      <c r="A11" s="390">
        <v>5</v>
      </c>
      <c r="B11" s="391" t="s">
        <v>916</v>
      </c>
      <c r="C11" s="391" t="s">
        <v>256</v>
      </c>
      <c r="D11" s="391" t="s">
        <v>915</v>
      </c>
      <c r="E11" s="392">
        <v>250000</v>
      </c>
      <c r="F11" s="386">
        <f t="shared" si="0"/>
        <v>75000</v>
      </c>
      <c r="G11" s="386">
        <f t="shared" si="1"/>
        <v>37500</v>
      </c>
      <c r="H11" s="620">
        <f t="shared" si="2"/>
        <v>65000</v>
      </c>
      <c r="I11" s="622">
        <f t="shared" si="3"/>
        <v>352500</v>
      </c>
      <c r="J11" s="632">
        <f t="shared" si="4"/>
        <v>2500</v>
      </c>
      <c r="K11" s="624">
        <f t="shared" si="5"/>
        <v>350000</v>
      </c>
    </row>
    <row r="12" spans="1:11">
      <c r="A12" s="390">
        <v>6</v>
      </c>
      <c r="B12" s="391" t="s">
        <v>917</v>
      </c>
      <c r="C12" s="391" t="s">
        <v>256</v>
      </c>
      <c r="D12" s="391" t="s">
        <v>915</v>
      </c>
      <c r="E12" s="392">
        <v>200000</v>
      </c>
      <c r="F12" s="386">
        <f t="shared" si="0"/>
        <v>60000</v>
      </c>
      <c r="G12" s="386">
        <f t="shared" si="1"/>
        <v>30000</v>
      </c>
      <c r="H12" s="620">
        <f t="shared" si="2"/>
        <v>52000</v>
      </c>
      <c r="I12" s="622">
        <f t="shared" si="3"/>
        <v>282000</v>
      </c>
      <c r="J12" s="632">
        <f t="shared" si="4"/>
        <v>2000</v>
      </c>
      <c r="K12" s="624">
        <f t="shared" si="5"/>
        <v>280000</v>
      </c>
    </row>
    <row r="13" spans="1:11">
      <c r="A13" s="390">
        <v>7</v>
      </c>
      <c r="B13" s="391" t="s">
        <v>918</v>
      </c>
      <c r="C13" s="391" t="s">
        <v>16</v>
      </c>
      <c r="D13" s="391" t="s">
        <v>915</v>
      </c>
      <c r="E13" s="392">
        <v>175000</v>
      </c>
      <c r="F13" s="386">
        <f t="shared" si="0"/>
        <v>52500</v>
      </c>
      <c r="G13" s="386">
        <f t="shared" si="1"/>
        <v>26250</v>
      </c>
      <c r="H13" s="620">
        <f t="shared" si="2"/>
        <v>45500</v>
      </c>
      <c r="I13" s="622">
        <f t="shared" si="3"/>
        <v>246750</v>
      </c>
      <c r="J13" s="632">
        <f t="shared" si="4"/>
        <v>1750</v>
      </c>
      <c r="K13" s="624">
        <f t="shared" si="5"/>
        <v>245000</v>
      </c>
    </row>
    <row r="14" spans="1:11">
      <c r="A14" s="390">
        <v>8</v>
      </c>
      <c r="B14" s="391" t="s">
        <v>919</v>
      </c>
      <c r="C14" s="391" t="s">
        <v>16</v>
      </c>
      <c r="D14" s="391" t="s">
        <v>915</v>
      </c>
      <c r="E14" s="392">
        <v>275000</v>
      </c>
      <c r="F14" s="386">
        <f t="shared" si="0"/>
        <v>82500</v>
      </c>
      <c r="G14" s="386">
        <f t="shared" si="1"/>
        <v>41250</v>
      </c>
      <c r="H14" s="620">
        <f t="shared" si="2"/>
        <v>71500</v>
      </c>
      <c r="I14" s="622">
        <f t="shared" si="3"/>
        <v>387750</v>
      </c>
      <c r="J14" s="632">
        <f t="shared" si="4"/>
        <v>2750</v>
      </c>
      <c r="K14" s="624">
        <f t="shared" si="5"/>
        <v>385000</v>
      </c>
    </row>
    <row r="15" spans="1:11">
      <c r="A15" s="390">
        <v>9</v>
      </c>
      <c r="B15" s="391" t="s">
        <v>920</v>
      </c>
      <c r="C15" s="391" t="s">
        <v>16</v>
      </c>
      <c r="D15" s="391" t="s">
        <v>921</v>
      </c>
      <c r="E15" s="392">
        <v>100000</v>
      </c>
      <c r="F15" s="386">
        <f t="shared" si="0"/>
        <v>30000</v>
      </c>
      <c r="G15" s="386">
        <f t="shared" si="1"/>
        <v>15000</v>
      </c>
      <c r="H15" s="620">
        <f t="shared" si="2"/>
        <v>26000</v>
      </c>
      <c r="I15" s="622">
        <f t="shared" si="3"/>
        <v>141000</v>
      </c>
      <c r="J15" s="632">
        <f t="shared" si="4"/>
        <v>1000</v>
      </c>
      <c r="K15" s="624">
        <f t="shared" si="5"/>
        <v>140000</v>
      </c>
    </row>
    <row r="16" spans="1:11" ht="13.5" thickBot="1">
      <c r="A16" s="393">
        <v>10</v>
      </c>
      <c r="B16" s="394" t="s">
        <v>922</v>
      </c>
      <c r="C16" s="394" t="s">
        <v>256</v>
      </c>
      <c r="D16" s="394" t="s">
        <v>923</v>
      </c>
      <c r="E16" s="395">
        <v>200000</v>
      </c>
      <c r="F16" s="386">
        <f t="shared" si="0"/>
        <v>60000</v>
      </c>
      <c r="G16" s="386">
        <f t="shared" si="1"/>
        <v>30000</v>
      </c>
      <c r="H16" s="620">
        <f t="shared" si="2"/>
        <v>52000</v>
      </c>
      <c r="I16" s="622">
        <f t="shared" si="3"/>
        <v>282000</v>
      </c>
      <c r="J16" s="632">
        <f t="shared" si="4"/>
        <v>2000</v>
      </c>
      <c r="K16" s="624">
        <f t="shared" si="5"/>
        <v>280000</v>
      </c>
    </row>
    <row r="18" spans="1:2">
      <c r="A18" s="82" t="s">
        <v>627</v>
      </c>
    </row>
    <row r="19" spans="1:2">
      <c r="A19" s="90">
        <v>1</v>
      </c>
      <c r="B19" s="91" t="s">
        <v>924</v>
      </c>
    </row>
    <row r="20" spans="1:2">
      <c r="B20" s="89" t="s">
        <v>925</v>
      </c>
    </row>
    <row r="21" spans="1:2">
      <c r="A21" s="80">
        <v>2</v>
      </c>
      <c r="B21" s="80" t="s">
        <v>908</v>
      </c>
    </row>
    <row r="22" spans="1:2">
      <c r="B22" t="s">
        <v>926</v>
      </c>
    </row>
    <row r="23" spans="1:2">
      <c r="A23" s="80">
        <v>3</v>
      </c>
      <c r="B23" s="80" t="s">
        <v>202</v>
      </c>
    </row>
    <row r="24" spans="1:2">
      <c r="B24" t="s">
        <v>927</v>
      </c>
    </row>
    <row r="25" spans="1:2">
      <c r="A25" s="80">
        <v>4</v>
      </c>
      <c r="B25" s="80" t="s">
        <v>909</v>
      </c>
    </row>
    <row r="26" spans="1:2">
      <c r="B26" t="s">
        <v>928</v>
      </c>
    </row>
    <row r="27" spans="1:2">
      <c r="A27" s="80">
        <v>5</v>
      </c>
      <c r="B27" s="80" t="s">
        <v>74</v>
      </c>
    </row>
    <row r="28" spans="1:2">
      <c r="B28" t="s">
        <v>929</v>
      </c>
    </row>
    <row r="29" spans="1:2">
      <c r="B29" t="s">
        <v>930</v>
      </c>
    </row>
    <row r="30" spans="1:2">
      <c r="B30" t="s">
        <v>931</v>
      </c>
    </row>
    <row r="31" spans="1:2">
      <c r="A31" s="80">
        <v>6</v>
      </c>
      <c r="B31" s="80" t="s">
        <v>613</v>
      </c>
    </row>
    <row r="32" spans="1:2">
      <c r="B32" t="s">
        <v>932</v>
      </c>
    </row>
  </sheetData>
  <mergeCells count="14">
    <mergeCell ref="A1:K1"/>
    <mergeCell ref="A2:K2"/>
    <mergeCell ref="A3:K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honeticPr fontId="5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41"/>
  <sheetViews>
    <sheetView topLeftCell="B1" workbookViewId="0">
      <selection activeCell="H7" sqref="H7"/>
    </sheetView>
  </sheetViews>
  <sheetFormatPr defaultRowHeight="12.75"/>
  <cols>
    <col min="2" max="2" width="16" bestFit="1" customWidth="1"/>
    <col min="3" max="3" width="13.140625" bestFit="1" customWidth="1"/>
    <col min="8" max="8" width="10.85546875" customWidth="1"/>
    <col min="9" max="9" width="12.7109375" customWidth="1"/>
    <col min="10" max="10" width="12.5703125" customWidth="1"/>
    <col min="11" max="11" width="13.140625" customWidth="1"/>
    <col min="12" max="12" width="12.85546875" customWidth="1"/>
    <col min="13" max="13" width="14.85546875" customWidth="1"/>
    <col min="14" max="14" width="14.5703125" customWidth="1"/>
    <col min="15" max="15" width="17.7109375" customWidth="1"/>
  </cols>
  <sheetData>
    <row r="1" spans="1:15">
      <c r="A1" s="697" t="s">
        <v>602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</row>
    <row r="2" spans="1:15">
      <c r="A2" s="697" t="s">
        <v>603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  <c r="N2" s="697"/>
      <c r="O2" s="697"/>
    </row>
    <row r="3" spans="1:15">
      <c r="A3" s="697" t="s">
        <v>604</v>
      </c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</row>
    <row r="4" spans="1:15" ht="13.5" thickBot="1">
      <c r="B4" s="14" t="s">
        <v>605</v>
      </c>
      <c r="C4" s="73">
        <f ca="1">NOW()</f>
        <v>44336.602316203702</v>
      </c>
    </row>
    <row r="5" spans="1:15">
      <c r="A5" s="794" t="s">
        <v>566</v>
      </c>
      <c r="B5" s="796" t="s">
        <v>103</v>
      </c>
      <c r="C5" s="796" t="s">
        <v>606</v>
      </c>
      <c r="D5" s="796" t="s">
        <v>607</v>
      </c>
      <c r="E5" s="796" t="s">
        <v>608</v>
      </c>
      <c r="F5" s="396" t="s">
        <v>609</v>
      </c>
      <c r="G5" s="396" t="s">
        <v>609</v>
      </c>
      <c r="H5" s="396" t="s">
        <v>610</v>
      </c>
      <c r="I5" s="796" t="s">
        <v>611</v>
      </c>
      <c r="J5" s="796" t="s">
        <v>70</v>
      </c>
      <c r="K5" s="798" t="s">
        <v>612</v>
      </c>
      <c r="L5" s="798"/>
      <c r="M5" s="796" t="s">
        <v>75</v>
      </c>
      <c r="N5" s="796" t="s">
        <v>74</v>
      </c>
      <c r="O5" s="799" t="s">
        <v>613</v>
      </c>
    </row>
    <row r="6" spans="1:15">
      <c r="A6" s="795"/>
      <c r="B6" s="797"/>
      <c r="C6" s="797"/>
      <c r="D6" s="797"/>
      <c r="E6" s="797"/>
      <c r="F6" s="397" t="s">
        <v>197</v>
      </c>
      <c r="G6" s="397" t="s">
        <v>614</v>
      </c>
      <c r="H6" s="397" t="s">
        <v>200</v>
      </c>
      <c r="I6" s="797"/>
      <c r="J6" s="797"/>
      <c r="K6" s="398" t="s">
        <v>615</v>
      </c>
      <c r="L6" s="397" t="s">
        <v>616</v>
      </c>
      <c r="M6" s="797"/>
      <c r="N6" s="797"/>
      <c r="O6" s="800"/>
    </row>
    <row r="7" spans="1:15">
      <c r="A7" s="401">
        <v>1</v>
      </c>
      <c r="B7" s="402" t="s">
        <v>617</v>
      </c>
      <c r="C7" s="403">
        <v>33095</v>
      </c>
      <c r="D7" s="404">
        <v>1</v>
      </c>
      <c r="E7" s="404" t="s">
        <v>256</v>
      </c>
      <c r="F7" s="625">
        <v>0.375</v>
      </c>
      <c r="G7" s="405">
        <v>0.70833333333333337</v>
      </c>
      <c r="H7" s="627">
        <f>G7-F7</f>
        <v>0.33333333333333337</v>
      </c>
      <c r="I7" s="628">
        <f ca="1">$C$4-C7</f>
        <v>11241.602316203702</v>
      </c>
      <c r="J7" s="629">
        <f>IF(D7=1,500000,IF(D7=2,550000,IF(D7=3,650000,700000)))</f>
        <v>500000</v>
      </c>
      <c r="K7" s="629">
        <f>IF(E7="K",100000,0)</f>
        <v>100000</v>
      </c>
      <c r="L7" s="629">
        <f>IF(D7=1,75000,IF(D7=2,100000,IF(D7=3,120000,150000)))</f>
        <v>75000</v>
      </c>
      <c r="M7" s="629">
        <f>J7+(K7+L7)</f>
        <v>675000</v>
      </c>
      <c r="N7" s="629">
        <f>5%*J7</f>
        <v>25000</v>
      </c>
      <c r="O7" s="630">
        <f>M7-N7</f>
        <v>650000</v>
      </c>
    </row>
    <row r="8" spans="1:15">
      <c r="A8" s="401">
        <v>2</v>
      </c>
      <c r="B8" s="402" t="s">
        <v>618</v>
      </c>
      <c r="C8" s="403">
        <v>32792</v>
      </c>
      <c r="D8" s="404">
        <v>2</v>
      </c>
      <c r="E8" s="404" t="s">
        <v>16</v>
      </c>
      <c r="F8" s="625">
        <v>0.375</v>
      </c>
      <c r="G8" s="405">
        <v>0.78125</v>
      </c>
      <c r="H8" s="627">
        <f>G8-F8</f>
        <v>0.40625</v>
      </c>
      <c r="I8" s="628">
        <f t="shared" ref="I8:I16" ca="1" si="0">$C$4-C8</f>
        <v>11544.602316203702</v>
      </c>
      <c r="J8" s="629">
        <f>IF(D8=1,500000,IF(D8=2,550000,IF(D8=3,650000,700000)))</f>
        <v>550000</v>
      </c>
      <c r="K8" s="629">
        <f>IF(E8="K",100000,0)</f>
        <v>0</v>
      </c>
      <c r="L8" s="629">
        <f>IF(D8=1,75000,IF(D8=2,100000,IF(D8=3,120000,150000)))</f>
        <v>100000</v>
      </c>
      <c r="M8" s="629">
        <f>J8+K8+L8</f>
        <v>650000</v>
      </c>
      <c r="N8" s="629">
        <f>5%*J8</f>
        <v>27500</v>
      </c>
      <c r="O8" s="630">
        <f>M8-N8</f>
        <v>622500</v>
      </c>
    </row>
    <row r="9" spans="1:15">
      <c r="A9" s="401">
        <v>3</v>
      </c>
      <c r="B9" s="402" t="s">
        <v>619</v>
      </c>
      <c r="C9" s="403">
        <v>31864</v>
      </c>
      <c r="D9" s="404">
        <v>1</v>
      </c>
      <c r="E9" s="404" t="s">
        <v>16</v>
      </c>
      <c r="F9" s="625">
        <v>0.375</v>
      </c>
      <c r="G9" s="405">
        <v>0.71875</v>
      </c>
      <c r="H9" s="627">
        <f>G9-F9</f>
        <v>0.34375</v>
      </c>
      <c r="I9" s="628">
        <f t="shared" ca="1" si="0"/>
        <v>12472.602316203702</v>
      </c>
      <c r="J9" s="629">
        <f t="shared" ref="J9:J16" si="1">IF(D9=1,500000,IF(D9=2,550000,IF(D9=3,650000,700000)))</f>
        <v>500000</v>
      </c>
      <c r="K9" s="629">
        <f t="shared" ref="K9:K16" si="2">IF(E9="K",100000,0)</f>
        <v>0</v>
      </c>
      <c r="L9" s="629">
        <f t="shared" ref="L9:L16" si="3">IF(D9=1,75000,IF(D9=2,100000,IF(D9=3,120000,150000)))</f>
        <v>75000</v>
      </c>
      <c r="M9" s="629">
        <f t="shared" ref="M9:M16" si="4">J9+K9+L9</f>
        <v>575000</v>
      </c>
      <c r="N9" s="629">
        <f t="shared" ref="N9:N15" si="5">5%*J9</f>
        <v>25000</v>
      </c>
      <c r="O9" s="630">
        <f t="shared" ref="O9:O16" si="6">M9-N9</f>
        <v>550000</v>
      </c>
    </row>
    <row r="10" spans="1:15">
      <c r="A10" s="401">
        <v>4</v>
      </c>
      <c r="B10" s="402" t="s">
        <v>620</v>
      </c>
      <c r="C10" s="403">
        <v>34819</v>
      </c>
      <c r="D10" s="404">
        <v>3</v>
      </c>
      <c r="E10" s="404" t="s">
        <v>256</v>
      </c>
      <c r="F10" s="625">
        <v>0.375</v>
      </c>
      <c r="G10" s="405">
        <v>0.85416666666666663</v>
      </c>
      <c r="H10" s="627">
        <f t="shared" ref="H10:H16" si="7">G10-F10</f>
        <v>0.47916666666666663</v>
      </c>
      <c r="I10" s="628">
        <f t="shared" ca="1" si="0"/>
        <v>9517.6023162037018</v>
      </c>
      <c r="J10" s="629">
        <f t="shared" si="1"/>
        <v>650000</v>
      </c>
      <c r="K10" s="629">
        <f t="shared" si="2"/>
        <v>100000</v>
      </c>
      <c r="L10" s="629">
        <f t="shared" si="3"/>
        <v>120000</v>
      </c>
      <c r="M10" s="629">
        <f t="shared" si="4"/>
        <v>870000</v>
      </c>
      <c r="N10" s="629">
        <f t="shared" si="5"/>
        <v>32500</v>
      </c>
      <c r="O10" s="630">
        <f t="shared" si="6"/>
        <v>837500</v>
      </c>
    </row>
    <row r="11" spans="1:15">
      <c r="A11" s="401">
        <v>5</v>
      </c>
      <c r="B11" s="402" t="s">
        <v>621</v>
      </c>
      <c r="C11" s="403">
        <v>32027</v>
      </c>
      <c r="D11" s="404">
        <v>4</v>
      </c>
      <c r="E11" s="404" t="s">
        <v>256</v>
      </c>
      <c r="F11" s="625">
        <v>0.375</v>
      </c>
      <c r="G11" s="405">
        <v>0.86111111111111116</v>
      </c>
      <c r="H11" s="627">
        <f t="shared" si="7"/>
        <v>0.48611111111111116</v>
      </c>
      <c r="I11" s="628">
        <f t="shared" ca="1" si="0"/>
        <v>12309.602316203702</v>
      </c>
      <c r="J11" s="629">
        <f t="shared" si="1"/>
        <v>700000</v>
      </c>
      <c r="K11" s="629">
        <f t="shared" si="2"/>
        <v>100000</v>
      </c>
      <c r="L11" s="629">
        <f t="shared" si="3"/>
        <v>150000</v>
      </c>
      <c r="M11" s="629">
        <f t="shared" si="4"/>
        <v>950000</v>
      </c>
      <c r="N11" s="629">
        <f t="shared" si="5"/>
        <v>35000</v>
      </c>
      <c r="O11" s="630">
        <f t="shared" si="6"/>
        <v>915000</v>
      </c>
    </row>
    <row r="12" spans="1:15">
      <c r="A12" s="401">
        <v>6</v>
      </c>
      <c r="B12" s="402" t="s">
        <v>622</v>
      </c>
      <c r="C12" s="403">
        <v>31869</v>
      </c>
      <c r="D12" s="404">
        <v>3</v>
      </c>
      <c r="E12" s="404" t="s">
        <v>256</v>
      </c>
      <c r="F12" s="625">
        <v>0.375</v>
      </c>
      <c r="G12" s="405">
        <v>0.71180555555555547</v>
      </c>
      <c r="H12" s="627">
        <f t="shared" si="7"/>
        <v>0.33680555555555547</v>
      </c>
      <c r="I12" s="628">
        <f t="shared" ca="1" si="0"/>
        <v>12467.602316203702</v>
      </c>
      <c r="J12" s="629">
        <f t="shared" si="1"/>
        <v>650000</v>
      </c>
      <c r="K12" s="629">
        <f t="shared" si="2"/>
        <v>100000</v>
      </c>
      <c r="L12" s="629">
        <f t="shared" si="3"/>
        <v>120000</v>
      </c>
      <c r="M12" s="629">
        <f t="shared" si="4"/>
        <v>870000</v>
      </c>
      <c r="N12" s="629">
        <f t="shared" si="5"/>
        <v>32500</v>
      </c>
      <c r="O12" s="630">
        <f t="shared" si="6"/>
        <v>837500</v>
      </c>
    </row>
    <row r="13" spans="1:15">
      <c r="A13" s="401">
        <v>7</v>
      </c>
      <c r="B13" s="402" t="s">
        <v>623</v>
      </c>
      <c r="C13" s="403">
        <v>33065</v>
      </c>
      <c r="D13" s="404">
        <v>2</v>
      </c>
      <c r="E13" s="404" t="s">
        <v>16</v>
      </c>
      <c r="F13" s="625">
        <v>0.375</v>
      </c>
      <c r="G13" s="405">
        <v>0.72916666666666663</v>
      </c>
      <c r="H13" s="627">
        <f t="shared" si="7"/>
        <v>0.35416666666666663</v>
      </c>
      <c r="I13" s="628">
        <f t="shared" ca="1" si="0"/>
        <v>11271.602316203702</v>
      </c>
      <c r="J13" s="629">
        <f t="shared" si="1"/>
        <v>550000</v>
      </c>
      <c r="K13" s="629">
        <f t="shared" si="2"/>
        <v>0</v>
      </c>
      <c r="L13" s="629">
        <f t="shared" si="3"/>
        <v>100000</v>
      </c>
      <c r="M13" s="629">
        <f t="shared" si="4"/>
        <v>650000</v>
      </c>
      <c r="N13" s="629">
        <f t="shared" si="5"/>
        <v>27500</v>
      </c>
      <c r="O13" s="630">
        <f t="shared" si="6"/>
        <v>622500</v>
      </c>
    </row>
    <row r="14" spans="1:15">
      <c r="A14" s="401">
        <v>8</v>
      </c>
      <c r="B14" s="402" t="s">
        <v>624</v>
      </c>
      <c r="C14" s="403">
        <v>31391</v>
      </c>
      <c r="D14" s="404">
        <v>4</v>
      </c>
      <c r="E14" s="404" t="s">
        <v>256</v>
      </c>
      <c r="F14" s="625">
        <v>0.375</v>
      </c>
      <c r="G14" s="405">
        <v>0.75</v>
      </c>
      <c r="H14" s="627">
        <f t="shared" si="7"/>
        <v>0.375</v>
      </c>
      <c r="I14" s="628">
        <f t="shared" ca="1" si="0"/>
        <v>12945.602316203702</v>
      </c>
      <c r="J14" s="629">
        <f t="shared" si="1"/>
        <v>700000</v>
      </c>
      <c r="K14" s="629">
        <f t="shared" si="2"/>
        <v>100000</v>
      </c>
      <c r="L14" s="629">
        <f t="shared" si="3"/>
        <v>150000</v>
      </c>
      <c r="M14" s="629">
        <f t="shared" si="4"/>
        <v>950000</v>
      </c>
      <c r="N14" s="629">
        <f t="shared" si="5"/>
        <v>35000</v>
      </c>
      <c r="O14" s="630">
        <f t="shared" si="6"/>
        <v>915000</v>
      </c>
    </row>
    <row r="15" spans="1:15">
      <c r="A15" s="401">
        <v>9</v>
      </c>
      <c r="B15" s="402" t="s">
        <v>625</v>
      </c>
      <c r="C15" s="403">
        <v>33563</v>
      </c>
      <c r="D15" s="404">
        <v>2</v>
      </c>
      <c r="E15" s="404" t="s">
        <v>16</v>
      </c>
      <c r="F15" s="625">
        <v>0.375</v>
      </c>
      <c r="G15" s="405">
        <v>0.76041666666666663</v>
      </c>
      <c r="H15" s="627">
        <f t="shared" si="7"/>
        <v>0.38541666666666663</v>
      </c>
      <c r="I15" s="628">
        <f t="shared" ca="1" si="0"/>
        <v>10773.602316203702</v>
      </c>
      <c r="J15" s="629">
        <f t="shared" si="1"/>
        <v>550000</v>
      </c>
      <c r="K15" s="629">
        <f t="shared" si="2"/>
        <v>0</v>
      </c>
      <c r="L15" s="629">
        <f t="shared" si="3"/>
        <v>100000</v>
      </c>
      <c r="M15" s="629">
        <f t="shared" si="4"/>
        <v>650000</v>
      </c>
      <c r="N15" s="629">
        <f t="shared" si="5"/>
        <v>27500</v>
      </c>
      <c r="O15" s="630">
        <f t="shared" si="6"/>
        <v>622500</v>
      </c>
    </row>
    <row r="16" spans="1:15" ht="13.5" thickBot="1">
      <c r="A16" s="406">
        <v>10</v>
      </c>
      <c r="B16" s="407" t="s">
        <v>626</v>
      </c>
      <c r="C16" s="408">
        <v>32071</v>
      </c>
      <c r="D16" s="409">
        <v>1</v>
      </c>
      <c r="E16" s="409" t="s">
        <v>16</v>
      </c>
      <c r="F16" s="626">
        <v>0.375</v>
      </c>
      <c r="G16" s="410">
        <v>0.83333333333333337</v>
      </c>
      <c r="H16" s="627">
        <f t="shared" si="7"/>
        <v>0.45833333333333337</v>
      </c>
      <c r="I16" s="628">
        <f t="shared" ca="1" si="0"/>
        <v>12265.602316203702</v>
      </c>
      <c r="J16" s="629">
        <f t="shared" si="1"/>
        <v>500000</v>
      </c>
      <c r="K16" s="629">
        <f t="shared" si="2"/>
        <v>0</v>
      </c>
      <c r="L16" s="629">
        <f t="shared" si="3"/>
        <v>75000</v>
      </c>
      <c r="M16" s="629">
        <f t="shared" si="4"/>
        <v>575000</v>
      </c>
      <c r="N16" s="629">
        <f>5%*J16</f>
        <v>25000</v>
      </c>
      <c r="O16" s="630">
        <f t="shared" si="6"/>
        <v>550000</v>
      </c>
    </row>
    <row r="17" spans="1:15" ht="13.5" thickBot="1">
      <c r="N17" s="411" t="s">
        <v>646</v>
      </c>
      <c r="O17" s="631">
        <f>SUM(O7:O16)</f>
        <v>7122500</v>
      </c>
    </row>
    <row r="18" spans="1:15">
      <c r="A18" t="s">
        <v>627</v>
      </c>
    </row>
    <row r="19" spans="1:15">
      <c r="A19">
        <v>1</v>
      </c>
      <c r="B19" t="s">
        <v>628</v>
      </c>
    </row>
    <row r="20" spans="1:15">
      <c r="B20" t="s">
        <v>629</v>
      </c>
    </row>
    <row r="21" spans="1:15">
      <c r="A21">
        <v>2</v>
      </c>
      <c r="B21" t="s">
        <v>611</v>
      </c>
    </row>
    <row r="22" spans="1:15">
      <c r="B22" t="s">
        <v>630</v>
      </c>
    </row>
    <row r="23" spans="1:15">
      <c r="A23">
        <v>3</v>
      </c>
      <c r="B23" t="s">
        <v>70</v>
      </c>
    </row>
    <row r="24" spans="1:15">
      <c r="B24" t="s">
        <v>631</v>
      </c>
    </row>
    <row r="25" spans="1:15">
      <c r="B25" t="s">
        <v>632</v>
      </c>
    </row>
    <row r="26" spans="1:15">
      <c r="B26" t="s">
        <v>633</v>
      </c>
    </row>
    <row r="27" spans="1:15">
      <c r="B27" t="s">
        <v>634</v>
      </c>
    </row>
    <row r="28" spans="1:15">
      <c r="A28">
        <v>4</v>
      </c>
      <c r="B28" t="s">
        <v>635</v>
      </c>
    </row>
    <row r="29" spans="1:15">
      <c r="B29" t="s">
        <v>636</v>
      </c>
    </row>
    <row r="30" spans="1:15">
      <c r="B30" t="s">
        <v>637</v>
      </c>
    </row>
    <row r="31" spans="1:15">
      <c r="A31">
        <v>5</v>
      </c>
      <c r="B31" t="s">
        <v>638</v>
      </c>
    </row>
    <row r="32" spans="1:15">
      <c r="B32" t="s">
        <v>639</v>
      </c>
    </row>
    <row r="33" spans="1:2">
      <c r="B33" t="s">
        <v>640</v>
      </c>
    </row>
    <row r="34" spans="1:2">
      <c r="B34" t="s">
        <v>641</v>
      </c>
    </row>
    <row r="35" spans="1:2">
      <c r="B35" t="s">
        <v>642</v>
      </c>
    </row>
    <row r="36" spans="1:2">
      <c r="A36">
        <v>6</v>
      </c>
      <c r="B36" t="s">
        <v>75</v>
      </c>
    </row>
    <row r="37" spans="1:2">
      <c r="B37" s="74" t="s">
        <v>643</v>
      </c>
    </row>
    <row r="38" spans="1:2">
      <c r="A38">
        <v>7</v>
      </c>
      <c r="B38" t="s">
        <v>74</v>
      </c>
    </row>
    <row r="39" spans="1:2">
      <c r="B39" s="74" t="s">
        <v>644</v>
      </c>
    </row>
    <row r="40" spans="1:2">
      <c r="A40">
        <v>8</v>
      </c>
      <c r="B40" t="s">
        <v>613</v>
      </c>
    </row>
    <row r="41" spans="1:2">
      <c r="B41" s="74" t="s">
        <v>645</v>
      </c>
    </row>
  </sheetData>
  <mergeCells count="14">
    <mergeCell ref="A1:O1"/>
    <mergeCell ref="A2:O2"/>
    <mergeCell ref="A3:O3"/>
    <mergeCell ref="A5:A6"/>
    <mergeCell ref="B5:B6"/>
    <mergeCell ref="C5:C6"/>
    <mergeCell ref="D5:D6"/>
    <mergeCell ref="E5:E6"/>
    <mergeCell ref="I5:I6"/>
    <mergeCell ref="J5:J6"/>
    <mergeCell ref="K5:L5"/>
    <mergeCell ref="M5:M6"/>
    <mergeCell ref="N5:N6"/>
    <mergeCell ref="O5:O6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2"/>
  <sheetViews>
    <sheetView zoomScale="85" workbookViewId="0">
      <selection activeCell="E11" sqref="E11"/>
    </sheetView>
  </sheetViews>
  <sheetFormatPr defaultRowHeight="12.75"/>
  <cols>
    <col min="1" max="1" width="3.5703125" customWidth="1"/>
    <col min="2" max="2" width="16.7109375" bestFit="1" customWidth="1"/>
    <col min="5" max="5" width="11" bestFit="1" customWidth="1"/>
    <col min="6" max="6" width="12.5703125" bestFit="1" customWidth="1"/>
    <col min="7" max="7" width="13.28515625" customWidth="1"/>
    <col min="8" max="8" width="13.85546875" customWidth="1"/>
    <col min="9" max="9" width="15.5703125" customWidth="1"/>
    <col min="10" max="10" width="15" customWidth="1"/>
    <col min="11" max="11" width="19" customWidth="1"/>
  </cols>
  <sheetData>
    <row r="1" spans="1:11" ht="18">
      <c r="A1" s="801" t="s">
        <v>647</v>
      </c>
      <c r="B1" s="801"/>
      <c r="C1" s="801"/>
      <c r="D1" s="801"/>
      <c r="E1" s="801"/>
      <c r="F1" s="801"/>
      <c r="G1" s="801"/>
      <c r="H1" s="801"/>
      <c r="I1" s="801"/>
      <c r="J1" s="801"/>
      <c r="K1" s="801"/>
    </row>
    <row r="2" spans="1:11" ht="18">
      <c r="A2" s="801" t="s">
        <v>648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</row>
    <row r="3" spans="1:11" ht="18">
      <c r="A3" s="801" t="s">
        <v>649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</row>
    <row r="6" spans="1:11">
      <c r="A6" s="802" t="s">
        <v>566</v>
      </c>
      <c r="B6" s="802" t="s">
        <v>650</v>
      </c>
      <c r="C6" s="802" t="s">
        <v>651</v>
      </c>
      <c r="D6" s="802" t="s">
        <v>652</v>
      </c>
      <c r="E6" s="802" t="s">
        <v>653</v>
      </c>
      <c r="F6" s="802" t="s">
        <v>654</v>
      </c>
      <c r="G6" s="802" t="s">
        <v>655</v>
      </c>
      <c r="H6" s="802" t="s">
        <v>656</v>
      </c>
      <c r="I6" s="802" t="s">
        <v>657</v>
      </c>
      <c r="J6" s="802" t="s">
        <v>658</v>
      </c>
      <c r="K6" s="802" t="s">
        <v>659</v>
      </c>
    </row>
    <row r="7" spans="1:11" ht="13.5" thickBot="1">
      <c r="A7" s="803"/>
      <c r="B7" s="803"/>
      <c r="C7" s="803"/>
      <c r="D7" s="803"/>
      <c r="E7" s="803"/>
      <c r="F7" s="803"/>
      <c r="G7" s="803"/>
      <c r="H7" s="803"/>
      <c r="I7" s="803"/>
      <c r="J7" s="803"/>
      <c r="K7" s="803"/>
    </row>
    <row r="8" spans="1:11" ht="13.5" thickTop="1">
      <c r="A8" s="412">
        <v>1</v>
      </c>
      <c r="B8" s="412" t="s">
        <v>660</v>
      </c>
      <c r="C8" s="413" t="s">
        <v>661</v>
      </c>
      <c r="D8" s="413" t="s">
        <v>256</v>
      </c>
      <c r="E8" s="416" t="str">
        <f>IF(C8="I","Marketing",IF(C8="II","Administrasi","Direktur"))</f>
        <v>Marketing</v>
      </c>
      <c r="F8" s="416">
        <f>IF(E8="Marketing",25000000,IF(E8="Administrasi",30000000,50000000))</f>
        <v>25000000</v>
      </c>
      <c r="G8" s="416">
        <f>IF(D8="K",10000000,7500000)</f>
        <v>10000000</v>
      </c>
      <c r="H8" s="416">
        <f>IF(D8="K",15000000,0)</f>
        <v>15000000</v>
      </c>
      <c r="I8" s="417">
        <f>F8+G8+H8</f>
        <v>50000000</v>
      </c>
      <c r="J8" s="416">
        <f>IF(I8&gt;600000,5%*F8,1.5%*F8)</f>
        <v>1250000</v>
      </c>
      <c r="K8" s="416">
        <f>I8-J8</f>
        <v>48750000</v>
      </c>
    </row>
    <row r="9" spans="1:11">
      <c r="A9" s="414">
        <v>2</v>
      </c>
      <c r="B9" s="414" t="s">
        <v>662</v>
      </c>
      <c r="C9" s="415" t="s">
        <v>663</v>
      </c>
      <c r="D9" s="415" t="s">
        <v>256</v>
      </c>
      <c r="E9" s="416" t="str">
        <f t="shared" ref="E9:E17" si="0">IF(C9="I","Marketing",IF(C9="II","Administrasi","Direktur"))</f>
        <v>Administrasi</v>
      </c>
      <c r="F9" s="416">
        <f>IF(E9="Marketing",25000000,IF(E9="Administrasi",30000000,50000000))</f>
        <v>30000000</v>
      </c>
      <c r="G9" s="416">
        <f t="shared" ref="G9:G17" si="1">IF(D9="K",10000000,7500000)</f>
        <v>10000000</v>
      </c>
      <c r="H9" s="416">
        <f t="shared" ref="H9:H17" si="2">IF(D9="K",15000000,0)</f>
        <v>15000000</v>
      </c>
      <c r="I9" s="417">
        <f t="shared" ref="I9:I17" si="3">F9+G9+H9</f>
        <v>55000000</v>
      </c>
      <c r="J9" s="416">
        <f>IF(I9&gt;600000,F9*5%,1.5%*F9)</f>
        <v>1500000</v>
      </c>
      <c r="K9" s="366">
        <f>I9-J9</f>
        <v>53500000</v>
      </c>
    </row>
    <row r="10" spans="1:11">
      <c r="A10" s="414">
        <v>3</v>
      </c>
      <c r="B10" s="414" t="s">
        <v>664</v>
      </c>
      <c r="C10" s="415" t="s">
        <v>663</v>
      </c>
      <c r="D10" s="415" t="s">
        <v>16</v>
      </c>
      <c r="E10" s="416" t="str">
        <f t="shared" si="0"/>
        <v>Administrasi</v>
      </c>
      <c r="F10" s="416">
        <f>IF(E10="Marketing",25000000,IF(E10="Administrasi",30000000,50000000))</f>
        <v>30000000</v>
      </c>
      <c r="G10" s="416">
        <f t="shared" si="1"/>
        <v>7500000</v>
      </c>
      <c r="H10" s="416">
        <f t="shared" si="2"/>
        <v>0</v>
      </c>
      <c r="I10" s="417">
        <f t="shared" si="3"/>
        <v>37500000</v>
      </c>
      <c r="J10" s="416">
        <f t="shared" ref="J10:J17" si="4">IF(I10&gt;600000,F10*5%,1.5%*F10)</f>
        <v>1500000</v>
      </c>
      <c r="K10" s="366">
        <f t="shared" ref="K10:K17" si="5">I10-J10</f>
        <v>36000000</v>
      </c>
    </row>
    <row r="11" spans="1:11">
      <c r="A11" s="414">
        <v>4</v>
      </c>
      <c r="B11" s="414" t="s">
        <v>665</v>
      </c>
      <c r="C11" s="415" t="s">
        <v>661</v>
      </c>
      <c r="D11" s="415" t="s">
        <v>16</v>
      </c>
      <c r="E11" s="416" t="str">
        <f t="shared" si="0"/>
        <v>Marketing</v>
      </c>
      <c r="F11" s="416">
        <f t="shared" ref="F9:F17" si="6">IF(E11="Marketing",25000000,IF(E11="Administrasi",30000000,50000000))</f>
        <v>25000000</v>
      </c>
      <c r="G11" s="416">
        <f t="shared" si="1"/>
        <v>7500000</v>
      </c>
      <c r="H11" s="416">
        <f t="shared" si="2"/>
        <v>0</v>
      </c>
      <c r="I11" s="417">
        <f t="shared" si="3"/>
        <v>32500000</v>
      </c>
      <c r="J11" s="416">
        <f t="shared" si="4"/>
        <v>1250000</v>
      </c>
      <c r="K11" s="366">
        <f t="shared" si="5"/>
        <v>31250000</v>
      </c>
    </row>
    <row r="12" spans="1:11">
      <c r="A12" s="414">
        <v>5</v>
      </c>
      <c r="B12" s="414" t="s">
        <v>666</v>
      </c>
      <c r="C12" s="415" t="s">
        <v>661</v>
      </c>
      <c r="D12" s="415" t="s">
        <v>16</v>
      </c>
      <c r="E12" s="416" t="str">
        <f t="shared" si="0"/>
        <v>Marketing</v>
      </c>
      <c r="F12" s="416">
        <f t="shared" si="6"/>
        <v>25000000</v>
      </c>
      <c r="G12" s="416">
        <f t="shared" si="1"/>
        <v>7500000</v>
      </c>
      <c r="H12" s="416">
        <f t="shared" si="2"/>
        <v>0</v>
      </c>
      <c r="I12" s="417">
        <f t="shared" si="3"/>
        <v>32500000</v>
      </c>
      <c r="J12" s="416">
        <f t="shared" si="4"/>
        <v>1250000</v>
      </c>
      <c r="K12" s="366">
        <f t="shared" si="5"/>
        <v>31250000</v>
      </c>
    </row>
    <row r="13" spans="1:11">
      <c r="A13" s="414">
        <v>6</v>
      </c>
      <c r="B13" s="414" t="s">
        <v>667</v>
      </c>
      <c r="C13" s="415" t="s">
        <v>663</v>
      </c>
      <c r="D13" s="415" t="s">
        <v>16</v>
      </c>
      <c r="E13" s="416" t="str">
        <f t="shared" si="0"/>
        <v>Administrasi</v>
      </c>
      <c r="F13" s="416">
        <f t="shared" si="6"/>
        <v>30000000</v>
      </c>
      <c r="G13" s="416">
        <f t="shared" si="1"/>
        <v>7500000</v>
      </c>
      <c r="H13" s="416">
        <f t="shared" si="2"/>
        <v>0</v>
      </c>
      <c r="I13" s="417">
        <f t="shared" si="3"/>
        <v>37500000</v>
      </c>
      <c r="J13" s="416">
        <f t="shared" si="4"/>
        <v>1500000</v>
      </c>
      <c r="K13" s="366">
        <f t="shared" si="5"/>
        <v>36000000</v>
      </c>
    </row>
    <row r="14" spans="1:11">
      <c r="A14" s="414">
        <v>7</v>
      </c>
      <c r="B14" s="414" t="s">
        <v>668</v>
      </c>
      <c r="C14" s="415" t="s">
        <v>661</v>
      </c>
      <c r="D14" s="415" t="s">
        <v>256</v>
      </c>
      <c r="E14" s="416" t="str">
        <f t="shared" si="0"/>
        <v>Marketing</v>
      </c>
      <c r="F14" s="416">
        <f t="shared" si="6"/>
        <v>25000000</v>
      </c>
      <c r="G14" s="416">
        <f t="shared" si="1"/>
        <v>10000000</v>
      </c>
      <c r="H14" s="416">
        <f t="shared" si="2"/>
        <v>15000000</v>
      </c>
      <c r="I14" s="417">
        <f t="shared" si="3"/>
        <v>50000000</v>
      </c>
      <c r="J14" s="416">
        <f t="shared" si="4"/>
        <v>1250000</v>
      </c>
      <c r="K14" s="366">
        <f t="shared" si="5"/>
        <v>48750000</v>
      </c>
    </row>
    <row r="15" spans="1:11">
      <c r="A15" s="414">
        <v>8</v>
      </c>
      <c r="B15" s="414" t="s">
        <v>669</v>
      </c>
      <c r="C15" s="415" t="s">
        <v>661</v>
      </c>
      <c r="D15" s="415" t="s">
        <v>256</v>
      </c>
      <c r="E15" s="416" t="str">
        <f t="shared" si="0"/>
        <v>Marketing</v>
      </c>
      <c r="F15" s="416">
        <f t="shared" si="6"/>
        <v>25000000</v>
      </c>
      <c r="G15" s="416">
        <f t="shared" si="1"/>
        <v>10000000</v>
      </c>
      <c r="H15" s="416">
        <f t="shared" si="2"/>
        <v>15000000</v>
      </c>
      <c r="I15" s="417">
        <f t="shared" si="3"/>
        <v>50000000</v>
      </c>
      <c r="J15" s="416">
        <f t="shared" si="4"/>
        <v>1250000</v>
      </c>
      <c r="K15" s="366">
        <f t="shared" si="5"/>
        <v>48750000</v>
      </c>
    </row>
    <row r="16" spans="1:11">
      <c r="A16" s="414">
        <v>9</v>
      </c>
      <c r="B16" s="414" t="s">
        <v>623</v>
      </c>
      <c r="C16" s="415" t="s">
        <v>670</v>
      </c>
      <c r="D16" s="415" t="s">
        <v>16</v>
      </c>
      <c r="E16" s="416" t="str">
        <f t="shared" si="0"/>
        <v>Direktur</v>
      </c>
      <c r="F16" s="416">
        <f t="shared" si="6"/>
        <v>50000000</v>
      </c>
      <c r="G16" s="416">
        <f t="shared" si="1"/>
        <v>7500000</v>
      </c>
      <c r="H16" s="416">
        <f t="shared" si="2"/>
        <v>0</v>
      </c>
      <c r="I16" s="417">
        <f t="shared" si="3"/>
        <v>57500000</v>
      </c>
      <c r="J16" s="416">
        <f t="shared" si="4"/>
        <v>2500000</v>
      </c>
      <c r="K16" s="366">
        <f t="shared" si="5"/>
        <v>55000000</v>
      </c>
    </row>
    <row r="17" spans="1:11">
      <c r="A17" s="414">
        <v>10</v>
      </c>
      <c r="B17" s="414" t="s">
        <v>623</v>
      </c>
      <c r="C17" s="415" t="s">
        <v>661</v>
      </c>
      <c r="D17" s="415" t="s">
        <v>256</v>
      </c>
      <c r="E17" s="416" t="str">
        <f t="shared" si="0"/>
        <v>Marketing</v>
      </c>
      <c r="F17" s="416">
        <f t="shared" si="6"/>
        <v>25000000</v>
      </c>
      <c r="G17" s="416">
        <f t="shared" si="1"/>
        <v>10000000</v>
      </c>
      <c r="H17" s="416">
        <f t="shared" si="2"/>
        <v>15000000</v>
      </c>
      <c r="I17" s="417">
        <f t="shared" si="3"/>
        <v>50000000</v>
      </c>
      <c r="J17" s="416">
        <f t="shared" si="4"/>
        <v>1250000</v>
      </c>
      <c r="K17" s="366">
        <f t="shared" si="5"/>
        <v>48750000</v>
      </c>
    </row>
    <row r="19" spans="1:11">
      <c r="B19" t="s">
        <v>671</v>
      </c>
    </row>
    <row r="20" spans="1:11">
      <c r="A20" s="14">
        <v>1</v>
      </c>
      <c r="B20" s="14" t="s">
        <v>608</v>
      </c>
    </row>
    <row r="21" spans="1:11">
      <c r="B21" t="s">
        <v>672</v>
      </c>
      <c r="C21" t="s">
        <v>673</v>
      </c>
    </row>
    <row r="22" spans="1:11">
      <c r="A22" s="14">
        <v>2</v>
      </c>
      <c r="B22" s="14" t="s">
        <v>69</v>
      </c>
    </row>
    <row r="23" spans="1:11">
      <c r="B23" t="s">
        <v>674</v>
      </c>
    </row>
    <row r="24" spans="1:11">
      <c r="B24" t="s">
        <v>675</v>
      </c>
    </row>
    <row r="25" spans="1:11">
      <c r="B25" t="s">
        <v>676</v>
      </c>
    </row>
    <row r="26" spans="1:11">
      <c r="A26" s="14">
        <v>3</v>
      </c>
      <c r="B26" s="14" t="s">
        <v>70</v>
      </c>
    </row>
    <row r="27" spans="1:11">
      <c r="B27" t="s">
        <v>677</v>
      </c>
    </row>
    <row r="28" spans="1:11">
      <c r="B28" t="s">
        <v>679</v>
      </c>
    </row>
    <row r="29" spans="1:11">
      <c r="B29" t="s">
        <v>678</v>
      </c>
    </row>
    <row r="30" spans="1:11">
      <c r="A30" s="14">
        <v>4</v>
      </c>
      <c r="B30" s="14" t="s">
        <v>638</v>
      </c>
    </row>
    <row r="31" spans="1:11">
      <c r="B31" t="s">
        <v>680</v>
      </c>
    </row>
    <row r="32" spans="1:11">
      <c r="B32" t="s">
        <v>681</v>
      </c>
    </row>
    <row r="33" spans="1:2">
      <c r="A33" s="14">
        <v>5</v>
      </c>
      <c r="B33" s="14" t="s">
        <v>682</v>
      </c>
    </row>
    <row r="34" spans="1:2">
      <c r="B34" t="s">
        <v>683</v>
      </c>
    </row>
    <row r="35" spans="1:2">
      <c r="B35" t="s">
        <v>684</v>
      </c>
    </row>
    <row r="36" spans="1:2">
      <c r="A36" s="14">
        <v>6</v>
      </c>
      <c r="B36" s="14" t="s">
        <v>685</v>
      </c>
    </row>
    <row r="37" spans="1:2">
      <c r="B37" t="s">
        <v>686</v>
      </c>
    </row>
    <row r="38" spans="1:2">
      <c r="A38" s="14">
        <v>7</v>
      </c>
      <c r="B38" s="14" t="s">
        <v>521</v>
      </c>
    </row>
    <row r="39" spans="1:2">
      <c r="B39" t="s">
        <v>687</v>
      </c>
    </row>
    <row r="40" spans="1:2">
      <c r="B40" t="s">
        <v>688</v>
      </c>
    </row>
    <row r="41" spans="1:2">
      <c r="A41" s="14">
        <v>8</v>
      </c>
      <c r="B41" s="14" t="s">
        <v>75</v>
      </c>
    </row>
    <row r="42" spans="1:2">
      <c r="B42" s="74" t="s">
        <v>689</v>
      </c>
    </row>
  </sheetData>
  <mergeCells count="14">
    <mergeCell ref="A1:K1"/>
    <mergeCell ref="A2:K2"/>
    <mergeCell ref="A3:K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honeticPr fontId="5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8"/>
  <sheetViews>
    <sheetView topLeftCell="A21" workbookViewId="0">
      <selection activeCell="G8" sqref="G8"/>
    </sheetView>
  </sheetViews>
  <sheetFormatPr defaultRowHeight="12.75"/>
  <cols>
    <col min="1" max="1" width="13.7109375" bestFit="1" customWidth="1"/>
    <col min="2" max="2" width="6.7109375" bestFit="1" customWidth="1"/>
    <col min="3" max="3" width="11.7109375" bestFit="1" customWidth="1"/>
    <col min="4" max="4" width="11.85546875" customWidth="1"/>
    <col min="5" max="5" width="17.42578125" bestFit="1" customWidth="1"/>
    <col min="6" max="6" width="16.28515625" bestFit="1" customWidth="1"/>
    <col min="7" max="7" width="15.5703125" customWidth="1"/>
    <col min="8" max="8" width="23.42578125" customWidth="1"/>
  </cols>
  <sheetData>
    <row r="1" spans="1:8" ht="20.25">
      <c r="A1" s="804" t="s">
        <v>793</v>
      </c>
      <c r="B1" s="804"/>
      <c r="C1" s="804"/>
      <c r="D1" s="804"/>
      <c r="E1" s="804"/>
      <c r="F1" s="804"/>
      <c r="G1" s="804"/>
      <c r="H1" s="804"/>
    </row>
    <row r="2" spans="1:8" ht="20.25">
      <c r="A2" s="804" t="s">
        <v>794</v>
      </c>
      <c r="B2" s="804"/>
      <c r="C2" s="804"/>
      <c r="D2" s="804"/>
      <c r="E2" s="804"/>
      <c r="F2" s="804"/>
      <c r="G2" s="804"/>
      <c r="H2" s="804"/>
    </row>
    <row r="3" spans="1:8">
      <c r="A3" s="35"/>
      <c r="B3" s="35"/>
      <c r="C3" s="35"/>
      <c r="D3" s="35"/>
      <c r="E3" s="35"/>
      <c r="F3" s="35"/>
      <c r="G3" s="35"/>
      <c r="H3" s="35"/>
    </row>
    <row r="4" spans="1:8">
      <c r="A4" s="35"/>
      <c r="B4" s="35"/>
      <c r="C4" s="35"/>
      <c r="D4" s="35"/>
      <c r="E4" s="35"/>
      <c r="F4" s="35"/>
      <c r="G4" s="35"/>
      <c r="H4" s="35"/>
    </row>
    <row r="5" spans="1:8" ht="13.5" thickBot="1">
      <c r="A5" s="35"/>
      <c r="B5" s="35"/>
      <c r="C5" s="35"/>
      <c r="D5" s="35"/>
      <c r="E5" s="35"/>
      <c r="F5" s="35"/>
      <c r="G5" s="35"/>
      <c r="H5" s="35"/>
    </row>
    <row r="6" spans="1:8" ht="13.5" customHeight="1" thickTop="1">
      <c r="A6" s="805" t="s">
        <v>795</v>
      </c>
      <c r="B6" s="809" t="s">
        <v>815</v>
      </c>
      <c r="C6" s="811" t="s">
        <v>816</v>
      </c>
      <c r="D6" s="811" t="s">
        <v>817</v>
      </c>
      <c r="E6" s="807" t="s">
        <v>796</v>
      </c>
      <c r="F6" s="807" t="s">
        <v>797</v>
      </c>
      <c r="G6" s="811" t="s">
        <v>818</v>
      </c>
      <c r="H6" s="418" t="s">
        <v>339</v>
      </c>
    </row>
    <row r="7" spans="1:8" ht="13.5" thickBot="1">
      <c r="A7" s="806"/>
      <c r="B7" s="810"/>
      <c r="C7" s="812" t="s">
        <v>798</v>
      </c>
      <c r="D7" s="812"/>
      <c r="E7" s="808"/>
      <c r="F7" s="808"/>
      <c r="G7" s="812"/>
      <c r="H7" s="419" t="s">
        <v>799</v>
      </c>
    </row>
    <row r="8" spans="1:8" ht="13.5" thickTop="1">
      <c r="A8" s="420" t="s">
        <v>800</v>
      </c>
      <c r="B8" s="421" t="s">
        <v>801</v>
      </c>
      <c r="C8" s="421">
        <v>4</v>
      </c>
      <c r="D8" s="424" t="str">
        <f>IF(B8="MK","KIJANG",IF(B8="MD","DAIHATSU","SUZUKI"))</f>
        <v>KIJANG</v>
      </c>
      <c r="E8" s="637">
        <f>IF(B8="MK",250000000,IF(B8="""MD",350000000,400000000))</f>
        <v>250000000</v>
      </c>
      <c r="F8" s="637">
        <f>IF(B8="MK",10%*E8,IF(B8="MD",15%*E8,18%*E8))</f>
        <v>25000000</v>
      </c>
      <c r="G8" s="424">
        <f>IF(C8&gt;5,5%*E8,0%*E8)</f>
        <v>0</v>
      </c>
      <c r="H8" s="638">
        <f>((E8+F8)*C8)-G8</f>
        <v>1100000000</v>
      </c>
    </row>
    <row r="9" spans="1:8">
      <c r="A9" s="420" t="s">
        <v>802</v>
      </c>
      <c r="B9" s="421" t="s">
        <v>803</v>
      </c>
      <c r="C9" s="421">
        <v>3</v>
      </c>
      <c r="D9" s="424" t="str">
        <f>IF(B9="MD","DAIHATSU",IF(B9="MK","KIJANG","SUZUKI"))</f>
        <v>DAIHATSU</v>
      </c>
      <c r="E9" s="637">
        <f>IF(B9="MK",250000000,IF(B9="MD",350000000,400000000))</f>
        <v>350000000</v>
      </c>
      <c r="F9" s="637">
        <f>IF(B9="MK",E9*10%,IF(B9="MD",E9*15%,E9*18%))</f>
        <v>52500000</v>
      </c>
      <c r="G9" s="424">
        <f t="shared" ref="G9:G16" si="0">IF(C9&gt;5,5%*E9,0%*E9)</f>
        <v>0</v>
      </c>
      <c r="H9" s="638">
        <f t="shared" ref="H9:H16" si="1">((E9+F9)*C9)-G9</f>
        <v>1207500000</v>
      </c>
    </row>
    <row r="10" spans="1:8">
      <c r="A10" s="420" t="s">
        <v>804</v>
      </c>
      <c r="B10" s="421" t="s">
        <v>805</v>
      </c>
      <c r="C10" s="421">
        <v>5</v>
      </c>
      <c r="D10" s="424" t="str">
        <f t="shared" ref="D9:D16" si="2">IF(B10="MK","KIJANG",IF(B10="MD","DAIHATSU","SUZUKI"))</f>
        <v>SUZUKI</v>
      </c>
      <c r="E10" s="637">
        <f t="shared" ref="E10:E16" si="3">IF(B10="MK",250000000,IF(B10="MD",350000000,400000000))</f>
        <v>400000000</v>
      </c>
      <c r="F10" s="637">
        <f t="shared" ref="F9:F16" si="4">IF(B10="MK",10%*E10,IF(B10="MD",15%*E10,18%*E10))</f>
        <v>72000000</v>
      </c>
      <c r="G10" s="424">
        <f t="shared" si="0"/>
        <v>0</v>
      </c>
      <c r="H10" s="638">
        <f t="shared" si="1"/>
        <v>2360000000</v>
      </c>
    </row>
    <row r="11" spans="1:8">
      <c r="A11" s="420" t="s">
        <v>806</v>
      </c>
      <c r="B11" s="421" t="s">
        <v>805</v>
      </c>
      <c r="C11" s="421">
        <v>4</v>
      </c>
      <c r="D11" s="424" t="str">
        <f t="shared" si="2"/>
        <v>SUZUKI</v>
      </c>
      <c r="E11" s="637">
        <f t="shared" si="3"/>
        <v>400000000</v>
      </c>
      <c r="F11" s="637">
        <f t="shared" si="4"/>
        <v>72000000</v>
      </c>
      <c r="G11" s="424">
        <f t="shared" si="0"/>
        <v>0</v>
      </c>
      <c r="H11" s="638">
        <f t="shared" si="1"/>
        <v>1888000000</v>
      </c>
    </row>
    <row r="12" spans="1:8">
      <c r="A12" s="420" t="s">
        <v>807</v>
      </c>
      <c r="B12" s="421" t="s">
        <v>801</v>
      </c>
      <c r="C12" s="421">
        <v>6</v>
      </c>
      <c r="D12" s="424" t="str">
        <f t="shared" si="2"/>
        <v>KIJANG</v>
      </c>
      <c r="E12" s="637">
        <f t="shared" si="3"/>
        <v>250000000</v>
      </c>
      <c r="F12" s="637">
        <f t="shared" si="4"/>
        <v>25000000</v>
      </c>
      <c r="G12" s="424">
        <f t="shared" si="0"/>
        <v>12500000</v>
      </c>
      <c r="H12" s="638">
        <f t="shared" si="1"/>
        <v>1637500000</v>
      </c>
    </row>
    <row r="13" spans="1:8">
      <c r="A13" s="420" t="s">
        <v>808</v>
      </c>
      <c r="B13" s="421" t="s">
        <v>803</v>
      </c>
      <c r="C13" s="421">
        <v>9</v>
      </c>
      <c r="D13" s="424" t="str">
        <f t="shared" si="2"/>
        <v>DAIHATSU</v>
      </c>
      <c r="E13" s="637">
        <f t="shared" si="3"/>
        <v>350000000</v>
      </c>
      <c r="F13" s="637">
        <f t="shared" si="4"/>
        <v>52500000</v>
      </c>
      <c r="G13" s="424">
        <f t="shared" si="0"/>
        <v>17500000</v>
      </c>
      <c r="H13" s="638">
        <f t="shared" si="1"/>
        <v>3605000000</v>
      </c>
    </row>
    <row r="14" spans="1:8">
      <c r="A14" s="420" t="s">
        <v>809</v>
      </c>
      <c r="B14" s="421" t="s">
        <v>805</v>
      </c>
      <c r="C14" s="421">
        <v>2</v>
      </c>
      <c r="D14" s="424" t="str">
        <f t="shared" si="2"/>
        <v>SUZUKI</v>
      </c>
      <c r="E14" s="637">
        <f t="shared" si="3"/>
        <v>400000000</v>
      </c>
      <c r="F14" s="637">
        <f t="shared" si="4"/>
        <v>72000000</v>
      </c>
      <c r="G14" s="424">
        <f t="shared" si="0"/>
        <v>0</v>
      </c>
      <c r="H14" s="638">
        <f t="shared" si="1"/>
        <v>944000000</v>
      </c>
    </row>
    <row r="15" spans="1:8">
      <c r="A15" s="420" t="s">
        <v>810</v>
      </c>
      <c r="B15" s="421" t="s">
        <v>801</v>
      </c>
      <c r="C15" s="421">
        <v>6</v>
      </c>
      <c r="D15" s="424" t="str">
        <f t="shared" si="2"/>
        <v>KIJANG</v>
      </c>
      <c r="E15" s="637">
        <f t="shared" si="3"/>
        <v>250000000</v>
      </c>
      <c r="F15" s="637">
        <f t="shared" si="4"/>
        <v>25000000</v>
      </c>
      <c r="G15" s="424">
        <f t="shared" si="0"/>
        <v>12500000</v>
      </c>
      <c r="H15" s="638">
        <f t="shared" si="1"/>
        <v>1637500000</v>
      </c>
    </row>
    <row r="16" spans="1:8" ht="13.5" thickBot="1">
      <c r="A16" s="422" t="s">
        <v>811</v>
      </c>
      <c r="B16" s="423" t="s">
        <v>803</v>
      </c>
      <c r="C16" s="423">
        <v>7</v>
      </c>
      <c r="D16" s="424" t="str">
        <f t="shared" si="2"/>
        <v>DAIHATSU</v>
      </c>
      <c r="E16" s="637">
        <f t="shared" si="3"/>
        <v>350000000</v>
      </c>
      <c r="F16" s="637">
        <f t="shared" si="4"/>
        <v>52500000</v>
      </c>
      <c r="G16" s="424">
        <f t="shared" si="0"/>
        <v>17500000</v>
      </c>
      <c r="H16" s="638">
        <f t="shared" si="1"/>
        <v>2800000000</v>
      </c>
    </row>
    <row r="17" spans="1:8" ht="13.5" thickTop="1">
      <c r="A17" s="35"/>
      <c r="B17" s="35"/>
      <c r="C17" s="35"/>
      <c r="D17" s="35"/>
      <c r="E17" s="35"/>
      <c r="F17" s="35"/>
      <c r="G17" s="425" t="s">
        <v>30</v>
      </c>
      <c r="H17" s="639">
        <f>SUM(H8:H16)</f>
        <v>17179500000</v>
      </c>
    </row>
    <row r="18" spans="1:8">
      <c r="G18" s="420" t="s">
        <v>812</v>
      </c>
      <c r="H18" s="638">
        <f>MAX(H8:H16)</f>
        <v>3605000000</v>
      </c>
    </row>
    <row r="19" spans="1:8">
      <c r="G19" s="420" t="s">
        <v>813</v>
      </c>
      <c r="H19" s="638">
        <f>MIN(H8:H16)</f>
        <v>944000000</v>
      </c>
    </row>
    <row r="20" spans="1:8" ht="13.5" thickBot="1">
      <c r="G20" s="422" t="s">
        <v>814</v>
      </c>
      <c r="H20" s="640">
        <f>AVERAGE(H8:H16)</f>
        <v>1908833333.3333333</v>
      </c>
    </row>
    <row r="21" spans="1:8" ht="13.5" thickTop="1">
      <c r="A21" s="78" t="s">
        <v>627</v>
      </c>
    </row>
    <row r="22" spans="1:8" s="83" customFormat="1">
      <c r="A22" s="79">
        <v>1</v>
      </c>
      <c r="B22" s="79" t="s">
        <v>817</v>
      </c>
    </row>
    <row r="23" spans="1:8">
      <c r="B23" t="s">
        <v>823</v>
      </c>
    </row>
    <row r="24" spans="1:8">
      <c r="B24" t="s">
        <v>824</v>
      </c>
    </row>
    <row r="25" spans="1:8">
      <c r="B25" t="s">
        <v>825</v>
      </c>
    </row>
    <row r="26" spans="1:8" s="83" customFormat="1">
      <c r="A26" s="79">
        <v>2</v>
      </c>
      <c r="B26" s="79" t="s">
        <v>796</v>
      </c>
    </row>
    <row r="27" spans="1:8">
      <c r="B27" t="s">
        <v>826</v>
      </c>
    </row>
    <row r="28" spans="1:8">
      <c r="B28" t="s">
        <v>827</v>
      </c>
    </row>
    <row r="29" spans="1:8">
      <c r="B29" t="s">
        <v>828</v>
      </c>
    </row>
    <row r="30" spans="1:8" s="83" customFormat="1">
      <c r="A30" s="79">
        <v>3</v>
      </c>
      <c r="B30" s="79" t="s">
        <v>797</v>
      </c>
    </row>
    <row r="31" spans="1:8">
      <c r="B31" t="s">
        <v>829</v>
      </c>
    </row>
    <row r="32" spans="1:8">
      <c r="B32" t="s">
        <v>830</v>
      </c>
    </row>
    <row r="33" spans="1:2">
      <c r="B33" t="s">
        <v>831</v>
      </c>
    </row>
    <row r="34" spans="1:2" s="83" customFormat="1">
      <c r="A34" s="79">
        <v>4</v>
      </c>
      <c r="B34" s="79" t="s">
        <v>573</v>
      </c>
    </row>
    <row r="35" spans="1:2">
      <c r="B35" t="s">
        <v>821</v>
      </c>
    </row>
    <row r="36" spans="1:2">
      <c r="B36" t="s">
        <v>822</v>
      </c>
    </row>
    <row r="37" spans="1:2" s="83" customFormat="1">
      <c r="A37" s="79">
        <v>5</v>
      </c>
      <c r="B37" s="79" t="s">
        <v>819</v>
      </c>
    </row>
    <row r="38" spans="1:2">
      <c r="B38" s="74" t="s">
        <v>820</v>
      </c>
    </row>
  </sheetData>
  <mergeCells count="9">
    <mergeCell ref="A1:H1"/>
    <mergeCell ref="A2:H2"/>
    <mergeCell ref="A6:A7"/>
    <mergeCell ref="E6:E7"/>
    <mergeCell ref="F6:F7"/>
    <mergeCell ref="B6:B7"/>
    <mergeCell ref="C6:C7"/>
    <mergeCell ref="D6:D7"/>
    <mergeCell ref="G6:G7"/>
  </mergeCells>
  <phoneticPr fontId="5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39"/>
  <sheetViews>
    <sheetView zoomScale="84" zoomScaleNormal="84" workbookViewId="0">
      <selection activeCell="J7" sqref="J7"/>
    </sheetView>
  </sheetViews>
  <sheetFormatPr defaultRowHeight="12.75"/>
  <cols>
    <col min="1" max="1" width="5" customWidth="1"/>
    <col min="2" max="2" width="14.140625" bestFit="1" customWidth="1"/>
    <col min="4" max="4" width="10.5703125" bestFit="1" customWidth="1"/>
    <col min="9" max="9" width="10.28515625" customWidth="1"/>
    <col min="10" max="10" width="12.42578125" customWidth="1"/>
    <col min="11" max="11" width="13.28515625" customWidth="1"/>
  </cols>
  <sheetData>
    <row r="1" spans="1:11">
      <c r="A1" s="697" t="s">
        <v>743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11">
      <c r="A2" s="697" t="s">
        <v>744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</row>
    <row r="3" spans="1:11">
      <c r="A3" s="697" t="s">
        <v>32</v>
      </c>
      <c r="B3" s="697"/>
      <c r="C3" s="697"/>
      <c r="D3" s="697"/>
      <c r="E3" s="697"/>
      <c r="F3" s="697"/>
      <c r="G3" s="697"/>
      <c r="H3" s="697"/>
      <c r="I3" s="697"/>
      <c r="J3" s="697"/>
      <c r="K3" s="697"/>
    </row>
    <row r="4" spans="1:11" ht="13.5" thickBot="1"/>
    <row r="5" spans="1:11">
      <c r="A5" s="813" t="s">
        <v>566</v>
      </c>
      <c r="B5" s="815" t="s">
        <v>340</v>
      </c>
      <c r="C5" s="817" t="s">
        <v>745</v>
      </c>
      <c r="D5" s="815" t="s">
        <v>746</v>
      </c>
      <c r="E5" s="815" t="s">
        <v>747</v>
      </c>
      <c r="F5" s="815" t="s">
        <v>748</v>
      </c>
      <c r="G5" s="817" t="s">
        <v>749</v>
      </c>
      <c r="H5" s="817" t="s">
        <v>750</v>
      </c>
      <c r="I5" s="817" t="s">
        <v>751</v>
      </c>
      <c r="J5" s="817" t="s">
        <v>752</v>
      </c>
      <c r="K5" s="819" t="s">
        <v>753</v>
      </c>
    </row>
    <row r="6" spans="1:11">
      <c r="A6" s="814"/>
      <c r="B6" s="816"/>
      <c r="C6" s="818" t="s">
        <v>754</v>
      </c>
      <c r="D6" s="816"/>
      <c r="E6" s="816"/>
      <c r="F6" s="816"/>
      <c r="G6" s="818"/>
      <c r="H6" s="818"/>
      <c r="I6" s="818"/>
      <c r="J6" s="818"/>
      <c r="K6" s="820"/>
    </row>
    <row r="7" spans="1:11">
      <c r="A7" s="426">
        <v>1</v>
      </c>
      <c r="B7" s="346" t="s">
        <v>755</v>
      </c>
      <c r="C7" s="350" t="s">
        <v>756</v>
      </c>
      <c r="D7" s="16" t="str">
        <f>IF(RIGHT(C7,1)="D","Double","Single")</f>
        <v>Double</v>
      </c>
      <c r="E7" s="16" t="str">
        <f>IF(LEFT(C7,1)="V","VIP",IF(LEFT(C7,1)="F","Family","Suitroom"))</f>
        <v>VIP</v>
      </c>
      <c r="F7" s="16" t="str">
        <f>IF(MID(C7,2,1)="1","Lantai 1",IF(MID(C7,2,1)="2","Lantai 2","Lantai 3"))</f>
        <v>Lantai 3</v>
      </c>
      <c r="G7" s="350">
        <v>11</v>
      </c>
      <c r="H7" s="16">
        <f>IF(E7="VIP",350000,IF(E7="Family",250000,75000))</f>
        <v>350000</v>
      </c>
      <c r="I7" s="16">
        <f>IF(D7="Double",5%*H7,0*H7)</f>
        <v>17500</v>
      </c>
      <c r="J7" s="16"/>
      <c r="K7" s="17">
        <f>H7+I7</f>
        <v>367500</v>
      </c>
    </row>
    <row r="8" spans="1:11">
      <c r="A8" s="426">
        <v>2</v>
      </c>
      <c r="B8" s="346" t="s">
        <v>757</v>
      </c>
      <c r="C8" s="350" t="s">
        <v>758</v>
      </c>
      <c r="D8" s="16" t="str">
        <f>IF(RIGHT(C8,1)="D","Double","Single")</f>
        <v>Single</v>
      </c>
      <c r="E8" s="16" t="str">
        <f>IF(LEFT(C8,1)="V","VIP",IF(LEFT(C8,1)="F","Family","Suitroom"))</f>
        <v>Family</v>
      </c>
      <c r="F8" s="16" t="str">
        <f>IF(MID(C8,2,1)="1","Lantai 1",IF(MID(C8,2,1)="2","Lantai 2","Lantai 3"))</f>
        <v>Lantai 2</v>
      </c>
      <c r="G8" s="350">
        <v>2</v>
      </c>
      <c r="H8" s="16">
        <f>IF(E8="VIP",350000,IF(E8="Family",250000,75000))</f>
        <v>250000</v>
      </c>
      <c r="I8" s="16">
        <f>IF(D8="Double",5%*H8,0*H8)</f>
        <v>0</v>
      </c>
      <c r="J8" s="16"/>
      <c r="K8" s="17">
        <f t="shared" ref="K8:K16" si="0">H8+I8</f>
        <v>250000</v>
      </c>
    </row>
    <row r="9" spans="1:11">
      <c r="A9" s="426">
        <v>3</v>
      </c>
      <c r="B9" s="346" t="s">
        <v>759</v>
      </c>
      <c r="C9" s="350" t="s">
        <v>760</v>
      </c>
      <c r="D9" s="16" t="str">
        <f>IF(RIGHT(C9,1)="D","Double","Single")</f>
        <v>Single</v>
      </c>
      <c r="E9" s="16" t="str">
        <f t="shared" ref="E9:E16" si="1">IF(LEFT(C9,1)="V","VIP",IF(LEFT(C9,1)="F","Family","Suitroom"))</f>
        <v>Family</v>
      </c>
      <c r="F9" s="16" t="str">
        <f>IF(MID(C9,2,1)="1","Lantai 1",IF(MID(C9,2,1)="2","Lantai 2","Lantai 3"))</f>
        <v>Lantai 3</v>
      </c>
      <c r="G9" s="350">
        <v>9</v>
      </c>
      <c r="H9" s="16">
        <f t="shared" ref="H9:H16" si="2">IF(E9="VIP",350000,IF(E9="Family",250000,75000))</f>
        <v>250000</v>
      </c>
      <c r="I9" s="16">
        <f>IF(D9="Double",5%*H9,0*H9)</f>
        <v>0</v>
      </c>
      <c r="J9" s="16"/>
      <c r="K9" s="17">
        <f t="shared" si="0"/>
        <v>250000</v>
      </c>
    </row>
    <row r="10" spans="1:11">
      <c r="A10" s="426">
        <v>4</v>
      </c>
      <c r="B10" s="346" t="s">
        <v>761</v>
      </c>
      <c r="C10" s="350" t="s">
        <v>762</v>
      </c>
      <c r="D10" s="16" t="str">
        <f>IF(RIGHT(C10,1)="D","Double","Single")</f>
        <v>Double</v>
      </c>
      <c r="E10" s="16" t="str">
        <f t="shared" si="1"/>
        <v>Suitroom</v>
      </c>
      <c r="F10" s="16" t="str">
        <f t="shared" ref="F10:F16" si="3">IF(MID(C10,2,1)="1","Lantai 1",IF(MID(C10,2,1)="2","Lantai 2","Lantai 3"))</f>
        <v>Lantai 2</v>
      </c>
      <c r="G10" s="350">
        <v>8</v>
      </c>
      <c r="H10" s="16">
        <f t="shared" si="2"/>
        <v>75000</v>
      </c>
      <c r="I10" s="16">
        <f>IF(D10="Double",5%*H10,0*H10)</f>
        <v>3750</v>
      </c>
      <c r="J10" s="16"/>
      <c r="K10" s="17">
        <f t="shared" si="0"/>
        <v>78750</v>
      </c>
    </row>
    <row r="11" spans="1:11">
      <c r="A11" s="426">
        <v>5</v>
      </c>
      <c r="B11" s="346" t="s">
        <v>763</v>
      </c>
      <c r="C11" s="350" t="s">
        <v>764</v>
      </c>
      <c r="D11" s="16" t="str">
        <f t="shared" ref="D11:D16" si="4">IF(RIGHT(C11,1)="D","Double","Single")</f>
        <v>Single</v>
      </c>
      <c r="E11" s="16" t="str">
        <f t="shared" si="1"/>
        <v>VIP</v>
      </c>
      <c r="F11" s="16" t="str">
        <f t="shared" si="3"/>
        <v>Lantai 1</v>
      </c>
      <c r="G11" s="350">
        <v>6</v>
      </c>
      <c r="H11" s="16">
        <f t="shared" si="2"/>
        <v>350000</v>
      </c>
      <c r="I11" s="16">
        <f t="shared" ref="I11:I16" si="5">IF(D11="Double",5%*H11,0*H11)</f>
        <v>0</v>
      </c>
      <c r="J11" s="16"/>
      <c r="K11" s="17">
        <f t="shared" si="0"/>
        <v>350000</v>
      </c>
    </row>
    <row r="12" spans="1:11">
      <c r="A12" s="426">
        <v>6</v>
      </c>
      <c r="B12" s="346" t="s">
        <v>765</v>
      </c>
      <c r="C12" s="350" t="s">
        <v>760</v>
      </c>
      <c r="D12" s="16" t="str">
        <f t="shared" si="4"/>
        <v>Single</v>
      </c>
      <c r="E12" s="16" t="str">
        <f t="shared" si="1"/>
        <v>Family</v>
      </c>
      <c r="F12" s="16" t="str">
        <f t="shared" si="3"/>
        <v>Lantai 3</v>
      </c>
      <c r="G12" s="350">
        <v>4</v>
      </c>
      <c r="H12" s="16">
        <f t="shared" si="2"/>
        <v>250000</v>
      </c>
      <c r="I12" s="16">
        <f t="shared" si="5"/>
        <v>0</v>
      </c>
      <c r="J12" s="16"/>
      <c r="K12" s="17">
        <f t="shared" si="0"/>
        <v>250000</v>
      </c>
    </row>
    <row r="13" spans="1:11">
      <c r="A13" s="426">
        <v>7</v>
      </c>
      <c r="B13" s="346" t="s">
        <v>766</v>
      </c>
      <c r="C13" s="350" t="s">
        <v>764</v>
      </c>
      <c r="D13" s="16" t="str">
        <f t="shared" si="4"/>
        <v>Single</v>
      </c>
      <c r="E13" s="16" t="str">
        <f t="shared" si="1"/>
        <v>VIP</v>
      </c>
      <c r="F13" s="16" t="str">
        <f t="shared" si="3"/>
        <v>Lantai 1</v>
      </c>
      <c r="G13" s="350">
        <v>1</v>
      </c>
      <c r="H13" s="16">
        <f t="shared" si="2"/>
        <v>350000</v>
      </c>
      <c r="I13" s="16">
        <f t="shared" si="5"/>
        <v>0</v>
      </c>
      <c r="J13" s="16"/>
      <c r="K13" s="17">
        <f t="shared" si="0"/>
        <v>350000</v>
      </c>
    </row>
    <row r="14" spans="1:11">
      <c r="A14" s="426">
        <v>8</v>
      </c>
      <c r="B14" s="346" t="s">
        <v>767</v>
      </c>
      <c r="C14" s="350" t="s">
        <v>768</v>
      </c>
      <c r="D14" s="16" t="str">
        <f t="shared" si="4"/>
        <v>Single</v>
      </c>
      <c r="E14" s="16" t="str">
        <f t="shared" si="1"/>
        <v>Suitroom</v>
      </c>
      <c r="F14" s="16" t="str">
        <f t="shared" si="3"/>
        <v>Lantai 3</v>
      </c>
      <c r="G14" s="350">
        <v>5</v>
      </c>
      <c r="H14" s="16">
        <f t="shared" si="2"/>
        <v>75000</v>
      </c>
      <c r="I14" s="16">
        <f t="shared" si="5"/>
        <v>0</v>
      </c>
      <c r="J14" s="16"/>
      <c r="K14" s="17">
        <f t="shared" si="0"/>
        <v>75000</v>
      </c>
    </row>
    <row r="15" spans="1:11">
      <c r="A15" s="426">
        <v>9</v>
      </c>
      <c r="B15" s="346" t="s">
        <v>769</v>
      </c>
      <c r="C15" s="350" t="s">
        <v>770</v>
      </c>
      <c r="D15" s="16" t="str">
        <f t="shared" si="4"/>
        <v>Single</v>
      </c>
      <c r="E15" s="16" t="str">
        <f t="shared" si="1"/>
        <v>VIP</v>
      </c>
      <c r="F15" s="16" t="str">
        <f t="shared" si="3"/>
        <v>Lantai 2</v>
      </c>
      <c r="G15" s="350">
        <v>15</v>
      </c>
      <c r="H15" s="16">
        <f t="shared" si="2"/>
        <v>350000</v>
      </c>
      <c r="I15" s="16">
        <f t="shared" si="5"/>
        <v>0</v>
      </c>
      <c r="J15" s="16"/>
      <c r="K15" s="17">
        <f t="shared" si="0"/>
        <v>350000</v>
      </c>
    </row>
    <row r="16" spans="1:11" ht="13.5" thickBot="1">
      <c r="A16" s="427">
        <v>10</v>
      </c>
      <c r="B16" s="348" t="s">
        <v>771</v>
      </c>
      <c r="C16" s="351" t="s">
        <v>772</v>
      </c>
      <c r="D16" s="16" t="str">
        <f t="shared" si="4"/>
        <v>Double</v>
      </c>
      <c r="E16" s="16" t="str">
        <f t="shared" si="1"/>
        <v>Family</v>
      </c>
      <c r="F16" s="16" t="str">
        <f t="shared" si="3"/>
        <v>Lantai 1</v>
      </c>
      <c r="G16" s="351">
        <v>2</v>
      </c>
      <c r="H16" s="16">
        <f t="shared" si="2"/>
        <v>250000</v>
      </c>
      <c r="I16" s="16">
        <f t="shared" si="5"/>
        <v>12500</v>
      </c>
      <c r="J16" s="19"/>
      <c r="K16" s="17">
        <f t="shared" si="0"/>
        <v>262500</v>
      </c>
    </row>
    <row r="18" spans="1:2">
      <c r="A18" s="78" t="s">
        <v>627</v>
      </c>
      <c r="B18" s="79"/>
    </row>
    <row r="19" spans="1:2">
      <c r="A19" s="81">
        <v>1</v>
      </c>
      <c r="B19" s="79" t="s">
        <v>746</v>
      </c>
    </row>
    <row r="20" spans="1:2">
      <c r="B20" s="14" t="s">
        <v>773</v>
      </c>
    </row>
    <row r="21" spans="1:2">
      <c r="B21" t="s">
        <v>774</v>
      </c>
    </row>
    <row r="22" spans="1:2">
      <c r="B22" t="s">
        <v>775</v>
      </c>
    </row>
    <row r="23" spans="1:2">
      <c r="A23" s="79">
        <v>2</v>
      </c>
      <c r="B23" s="79" t="s">
        <v>776</v>
      </c>
    </row>
    <row r="24" spans="1:2">
      <c r="B24" s="14" t="s">
        <v>777</v>
      </c>
    </row>
    <row r="25" spans="1:2">
      <c r="B25" t="s">
        <v>778</v>
      </c>
    </row>
    <row r="26" spans="1:2">
      <c r="B26" t="s">
        <v>779</v>
      </c>
    </row>
    <row r="27" spans="1:2">
      <c r="B27" t="s">
        <v>780</v>
      </c>
    </row>
    <row r="28" spans="1:2">
      <c r="A28" s="79">
        <v>3</v>
      </c>
      <c r="B28" s="79" t="s">
        <v>781</v>
      </c>
    </row>
    <row r="29" spans="1:2">
      <c r="B29" s="14" t="s">
        <v>782</v>
      </c>
    </row>
    <row r="30" spans="1:2">
      <c r="B30" t="s">
        <v>783</v>
      </c>
    </row>
    <row r="31" spans="1:2">
      <c r="B31" t="s">
        <v>784</v>
      </c>
    </row>
    <row r="32" spans="1:2">
      <c r="B32" t="s">
        <v>785</v>
      </c>
    </row>
    <row r="33" spans="1:2">
      <c r="A33" s="79">
        <v>4</v>
      </c>
      <c r="B33" s="79" t="s">
        <v>786</v>
      </c>
    </row>
    <row r="34" spans="1:2">
      <c r="B34" t="s">
        <v>787</v>
      </c>
    </row>
    <row r="35" spans="1:2">
      <c r="B35" t="s">
        <v>788</v>
      </c>
    </row>
    <row r="36" spans="1:2">
      <c r="B36" t="s">
        <v>789</v>
      </c>
    </row>
    <row r="37" spans="1:2">
      <c r="A37" s="79">
        <v>5</v>
      </c>
      <c r="B37" s="79" t="s">
        <v>790</v>
      </c>
    </row>
    <row r="38" spans="1:2">
      <c r="B38" t="s">
        <v>791</v>
      </c>
    </row>
    <row r="39" spans="1:2">
      <c r="B39" t="s">
        <v>792</v>
      </c>
    </row>
  </sheetData>
  <mergeCells count="14">
    <mergeCell ref="A1:K1"/>
    <mergeCell ref="A2:K2"/>
    <mergeCell ref="A3:K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honeticPr fontId="5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2"/>
  <sheetViews>
    <sheetView zoomScale="70" workbookViewId="0">
      <selection activeCell="H6" sqref="H6"/>
    </sheetView>
  </sheetViews>
  <sheetFormatPr defaultRowHeight="12.75"/>
  <cols>
    <col min="1" max="1" width="19.42578125" customWidth="1"/>
    <col min="4" max="4" width="11.42578125" customWidth="1"/>
    <col min="7" max="7" width="13.140625" bestFit="1" customWidth="1"/>
    <col min="8" max="8" width="16.42578125" customWidth="1"/>
    <col min="9" max="9" width="19.7109375" bestFit="1" customWidth="1"/>
    <col min="10" max="10" width="15.7109375" bestFit="1" customWidth="1"/>
    <col min="11" max="11" width="20" bestFit="1" customWidth="1"/>
  </cols>
  <sheetData>
    <row r="1" spans="1:11">
      <c r="A1" s="697" t="s">
        <v>690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11">
      <c r="A2" s="697" t="s">
        <v>691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</row>
    <row r="3" spans="1:11" ht="13.5" thickBot="1">
      <c r="A3" s="697" t="s">
        <v>692</v>
      </c>
      <c r="B3" s="697"/>
      <c r="C3" s="697"/>
      <c r="D3" s="697"/>
      <c r="E3" s="697"/>
      <c r="F3" s="697"/>
      <c r="G3" s="697"/>
      <c r="H3" s="697"/>
      <c r="I3" s="697"/>
      <c r="J3" s="697"/>
      <c r="K3" s="697"/>
    </row>
    <row r="4" spans="1:11">
      <c r="A4" s="824" t="s">
        <v>717</v>
      </c>
      <c r="B4" s="821" t="s">
        <v>338</v>
      </c>
      <c r="C4" s="821" t="s">
        <v>693</v>
      </c>
      <c r="D4" s="826" t="s">
        <v>718</v>
      </c>
      <c r="E4" s="823" t="s">
        <v>694</v>
      </c>
      <c r="F4" s="823"/>
      <c r="G4" s="823"/>
      <c r="H4" s="823" t="s">
        <v>695</v>
      </c>
      <c r="I4" s="823"/>
      <c r="J4" s="823"/>
      <c r="K4" s="828" t="s">
        <v>742</v>
      </c>
    </row>
    <row r="5" spans="1:11">
      <c r="A5" s="825"/>
      <c r="B5" s="822"/>
      <c r="C5" s="822"/>
      <c r="D5" s="827" t="s">
        <v>696</v>
      </c>
      <c r="E5" s="428" t="s">
        <v>697</v>
      </c>
      <c r="F5" s="428" t="s">
        <v>698</v>
      </c>
      <c r="G5" s="429" t="s">
        <v>699</v>
      </c>
      <c r="H5" s="428" t="s">
        <v>700</v>
      </c>
      <c r="I5" s="429" t="s">
        <v>701</v>
      </c>
      <c r="J5" s="429" t="s">
        <v>702</v>
      </c>
      <c r="K5" s="829"/>
    </row>
    <row r="6" spans="1:11">
      <c r="A6" s="399" t="s">
        <v>703</v>
      </c>
      <c r="B6" s="364" t="s">
        <v>704</v>
      </c>
      <c r="C6" s="16" t="str">
        <f>IF(MID(B6,4,2)="NA","NIAGA",IF(MID(B6,4,2)="RM","RUMAH","SOSIAL"))</f>
        <v>NIAGA</v>
      </c>
      <c r="D6" s="633" t="str">
        <f>IF(RIGHT(B6,2)="04",450,IF(RIGHT(B6,2)="09",900,IF(RIGHT(B6,2)="13","1300","3500")))</f>
        <v>3500</v>
      </c>
      <c r="E6" s="364">
        <v>1000</v>
      </c>
      <c r="F6" s="364">
        <v>1200</v>
      </c>
      <c r="G6" s="16">
        <f>F6-E6</f>
        <v>200</v>
      </c>
      <c r="H6" s="635">
        <f>IF(LEFT(B6,2)="20",15000,IF(LEFT(B6,2)="35",35000,IF(LEFT(B6,2)="65",50000,15000)))</f>
        <v>50000</v>
      </c>
      <c r="I6" s="373">
        <f>IF(D6&lt;1000,450000,IF(D6&lt;2000,65000,450000))</f>
        <v>450000</v>
      </c>
      <c r="J6" s="373">
        <f>G6*I6</f>
        <v>90000000</v>
      </c>
      <c r="K6" s="634">
        <f>H6+J6</f>
        <v>90050000</v>
      </c>
    </row>
    <row r="7" spans="1:11">
      <c r="A7" s="399" t="s">
        <v>705</v>
      </c>
      <c r="B7" s="364" t="s">
        <v>706</v>
      </c>
      <c r="C7" s="16" t="str">
        <f>IF(MID(B7,4,2)="NA","NIAGA",IF(MID(B7,4,2)="RM","RUMAH","SOSIAL"))</f>
        <v>RUMAH</v>
      </c>
      <c r="D7" s="633">
        <f>IF(RIGHT(B7,2)="04",450,IF(RIGHT(B7,2)="09",900,IF(RIGHT(B7,2)="13","1300","3500")))</f>
        <v>450</v>
      </c>
      <c r="E7" s="364">
        <v>1250</v>
      </c>
      <c r="F7" s="364">
        <v>1500</v>
      </c>
      <c r="G7" s="16">
        <f>F7-E7</f>
        <v>250</v>
      </c>
      <c r="H7" s="635">
        <f>IF(LEFT(B7,2)="20",15000,IF(LEFT(B7,2)="35",35000,IF(LEFT(B7,2)="65",50000,15000)))</f>
        <v>35000</v>
      </c>
      <c r="I7" s="373">
        <f t="shared" ref="I7:I15" si="0">IF(D7&lt;1000,450000,IF(D7&lt;2000,65000,450000))</f>
        <v>450000</v>
      </c>
      <c r="J7" s="373">
        <f t="shared" ref="J7:J15" si="1">G7*I7</f>
        <v>112500000</v>
      </c>
      <c r="K7" s="634">
        <f t="shared" ref="K7:K15" si="2">H7+J7</f>
        <v>112535000</v>
      </c>
    </row>
    <row r="8" spans="1:11">
      <c r="A8" s="399" t="s">
        <v>707</v>
      </c>
      <c r="B8" s="364" t="s">
        <v>708</v>
      </c>
      <c r="C8" s="16" t="str">
        <f>IF(MID(B8,4,2)="NA","NIAGA",IF(MID(B8,4,2)="RM","RUMAH","SOSIAL"))</f>
        <v>RUMAH</v>
      </c>
      <c r="D8" s="633">
        <f>IF(RIGHT(B8,2)="04",450,IF(RIGHT(B8,2)="09",900,IF(RIGHT(B8,2)="13","1300","3500")))</f>
        <v>900</v>
      </c>
      <c r="E8" s="364">
        <v>1123</v>
      </c>
      <c r="F8" s="364">
        <v>1260</v>
      </c>
      <c r="G8" s="16">
        <f>F8-E8</f>
        <v>137</v>
      </c>
      <c r="H8" s="635">
        <f t="shared" ref="H8:H15" si="3">IF(LEFT(B8,2)="20",15000,IF(LEFT(B8,2)="35",35000,IF(LEFT(B8,2)="65",50000,15000)))</f>
        <v>35000</v>
      </c>
      <c r="I8" s="373">
        <f t="shared" si="0"/>
        <v>450000</v>
      </c>
      <c r="J8" s="373">
        <f t="shared" si="1"/>
        <v>61650000</v>
      </c>
      <c r="K8" s="634">
        <f t="shared" si="2"/>
        <v>61685000</v>
      </c>
    </row>
    <row r="9" spans="1:11">
      <c r="A9" s="399" t="s">
        <v>709</v>
      </c>
      <c r="B9" s="364" t="s">
        <v>710</v>
      </c>
      <c r="C9" s="16" t="str">
        <f t="shared" ref="C9:C15" si="4">IF(MID(B9,4,2)="NA","NIAGA",IF(MID(B9,4,2)="RM","RUMAH","SOSIAL"))</f>
        <v>SOSIAL</v>
      </c>
      <c r="D9" s="633" t="str">
        <f t="shared" ref="D9:D15" si="5">IF(RIGHT(B9,2)="04",450,IF(RIGHT(B9,2)="09",900,IF(RIGHT(B9,2)="13","1300","3500")))</f>
        <v>3500</v>
      </c>
      <c r="E9" s="364">
        <v>8796</v>
      </c>
      <c r="F9" s="364">
        <v>8888</v>
      </c>
      <c r="G9" s="16">
        <f>F9-E9</f>
        <v>92</v>
      </c>
      <c r="H9" s="635">
        <f t="shared" si="3"/>
        <v>15000</v>
      </c>
      <c r="I9" s="373">
        <f t="shared" si="0"/>
        <v>450000</v>
      </c>
      <c r="J9" s="373">
        <f t="shared" si="1"/>
        <v>41400000</v>
      </c>
      <c r="K9" s="634">
        <f t="shared" si="2"/>
        <v>41415000</v>
      </c>
    </row>
    <row r="10" spans="1:11">
      <c r="A10" s="399" t="s">
        <v>711</v>
      </c>
      <c r="B10" s="364" t="s">
        <v>708</v>
      </c>
      <c r="C10" s="16" t="str">
        <f t="shared" si="4"/>
        <v>RUMAH</v>
      </c>
      <c r="D10" s="633">
        <f t="shared" si="5"/>
        <v>900</v>
      </c>
      <c r="E10" s="364">
        <v>5389</v>
      </c>
      <c r="F10" s="364">
        <v>5499</v>
      </c>
      <c r="G10" s="16">
        <f t="shared" ref="G10:G15" si="6">F10-E10</f>
        <v>110</v>
      </c>
      <c r="H10" s="635">
        <f t="shared" si="3"/>
        <v>35000</v>
      </c>
      <c r="I10" s="373">
        <f t="shared" si="0"/>
        <v>450000</v>
      </c>
      <c r="J10" s="373">
        <f t="shared" si="1"/>
        <v>49500000</v>
      </c>
      <c r="K10" s="634">
        <f t="shared" si="2"/>
        <v>49535000</v>
      </c>
    </row>
    <row r="11" spans="1:11">
      <c r="A11" s="399" t="s">
        <v>712</v>
      </c>
      <c r="B11" s="364" t="s">
        <v>706</v>
      </c>
      <c r="C11" s="16" t="str">
        <f t="shared" si="4"/>
        <v>RUMAH</v>
      </c>
      <c r="D11" s="633">
        <f t="shared" si="5"/>
        <v>450</v>
      </c>
      <c r="E11" s="364">
        <v>1345</v>
      </c>
      <c r="F11" s="364">
        <v>1465</v>
      </c>
      <c r="G11" s="16">
        <f t="shared" si="6"/>
        <v>120</v>
      </c>
      <c r="H11" s="635">
        <f t="shared" si="3"/>
        <v>35000</v>
      </c>
      <c r="I11" s="373">
        <f t="shared" si="0"/>
        <v>450000</v>
      </c>
      <c r="J11" s="373">
        <f t="shared" si="1"/>
        <v>54000000</v>
      </c>
      <c r="K11" s="634">
        <f t="shared" si="2"/>
        <v>54035000</v>
      </c>
    </row>
    <row r="12" spans="1:11">
      <c r="A12" s="399" t="s">
        <v>713</v>
      </c>
      <c r="B12" s="364" t="s">
        <v>710</v>
      </c>
      <c r="C12" s="16" t="str">
        <f t="shared" si="4"/>
        <v>SOSIAL</v>
      </c>
      <c r="D12" s="633" t="str">
        <f t="shared" si="5"/>
        <v>3500</v>
      </c>
      <c r="E12" s="364">
        <v>1221</v>
      </c>
      <c r="F12" s="364">
        <v>1365</v>
      </c>
      <c r="G12" s="16">
        <f t="shared" si="6"/>
        <v>144</v>
      </c>
      <c r="H12" s="635">
        <f t="shared" si="3"/>
        <v>15000</v>
      </c>
      <c r="I12" s="373">
        <f t="shared" si="0"/>
        <v>450000</v>
      </c>
      <c r="J12" s="373">
        <f t="shared" si="1"/>
        <v>64800000</v>
      </c>
      <c r="K12" s="634">
        <f t="shared" si="2"/>
        <v>64815000</v>
      </c>
    </row>
    <row r="13" spans="1:11">
      <c r="A13" s="399" t="s">
        <v>714</v>
      </c>
      <c r="B13" s="364" t="s">
        <v>704</v>
      </c>
      <c r="C13" s="16" t="str">
        <f t="shared" si="4"/>
        <v>NIAGA</v>
      </c>
      <c r="D13" s="633" t="str">
        <f t="shared" si="5"/>
        <v>3500</v>
      </c>
      <c r="E13" s="364">
        <v>1134</v>
      </c>
      <c r="F13" s="364">
        <v>1325</v>
      </c>
      <c r="G13" s="16">
        <f t="shared" si="6"/>
        <v>191</v>
      </c>
      <c r="H13" s="635">
        <f t="shared" si="3"/>
        <v>50000</v>
      </c>
      <c r="I13" s="373">
        <f t="shared" si="0"/>
        <v>450000</v>
      </c>
      <c r="J13" s="373">
        <f t="shared" si="1"/>
        <v>85950000</v>
      </c>
      <c r="K13" s="634">
        <f t="shared" si="2"/>
        <v>86000000</v>
      </c>
    </row>
    <row r="14" spans="1:11">
      <c r="A14" s="399" t="s">
        <v>715</v>
      </c>
      <c r="B14" s="364" t="s">
        <v>706</v>
      </c>
      <c r="C14" s="16" t="str">
        <f t="shared" si="4"/>
        <v>RUMAH</v>
      </c>
      <c r="D14" s="633">
        <f t="shared" si="5"/>
        <v>450</v>
      </c>
      <c r="E14" s="364">
        <v>1351</v>
      </c>
      <c r="F14" s="364">
        <v>1546</v>
      </c>
      <c r="G14" s="16">
        <f t="shared" si="6"/>
        <v>195</v>
      </c>
      <c r="H14" s="635">
        <f t="shared" si="3"/>
        <v>35000</v>
      </c>
      <c r="I14" s="373">
        <f t="shared" si="0"/>
        <v>450000</v>
      </c>
      <c r="J14" s="373">
        <f t="shared" si="1"/>
        <v>87750000</v>
      </c>
      <c r="K14" s="634">
        <f t="shared" si="2"/>
        <v>87785000</v>
      </c>
    </row>
    <row r="15" spans="1:11" ht="13.5" thickBot="1">
      <c r="A15" s="400" t="s">
        <v>716</v>
      </c>
      <c r="B15" s="365" t="s">
        <v>710</v>
      </c>
      <c r="C15" s="16" t="str">
        <f t="shared" si="4"/>
        <v>SOSIAL</v>
      </c>
      <c r="D15" s="633" t="str">
        <f t="shared" si="5"/>
        <v>3500</v>
      </c>
      <c r="E15" s="365">
        <v>1253</v>
      </c>
      <c r="F15" s="365">
        <v>1423</v>
      </c>
      <c r="G15" s="16">
        <f t="shared" si="6"/>
        <v>170</v>
      </c>
      <c r="H15" s="635">
        <f t="shared" si="3"/>
        <v>15000</v>
      </c>
      <c r="I15" s="373">
        <f t="shared" si="0"/>
        <v>450000</v>
      </c>
      <c r="J15" s="373">
        <f t="shared" si="1"/>
        <v>76500000</v>
      </c>
      <c r="K15" s="634">
        <f t="shared" si="2"/>
        <v>76515000</v>
      </c>
    </row>
    <row r="16" spans="1:11">
      <c r="H16" s="636"/>
    </row>
    <row r="18" spans="1:2">
      <c r="A18" s="78" t="s">
        <v>671</v>
      </c>
    </row>
    <row r="19" spans="1:2">
      <c r="A19" s="79">
        <v>1</v>
      </c>
      <c r="B19" s="79" t="s">
        <v>722</v>
      </c>
    </row>
    <row r="20" spans="1:2">
      <c r="A20" s="14"/>
      <c r="B20" t="s">
        <v>719</v>
      </c>
    </row>
    <row r="21" spans="1:2">
      <c r="A21" s="14"/>
      <c r="B21" t="s">
        <v>720</v>
      </c>
    </row>
    <row r="22" spans="1:2">
      <c r="A22" s="14"/>
      <c r="B22" t="s">
        <v>721</v>
      </c>
    </row>
    <row r="23" spans="1:2">
      <c r="A23" s="79">
        <v>2</v>
      </c>
      <c r="B23" s="79" t="s">
        <v>723</v>
      </c>
    </row>
    <row r="24" spans="1:2">
      <c r="A24" s="14"/>
      <c r="B24" t="s">
        <v>724</v>
      </c>
    </row>
    <row r="25" spans="1:2">
      <c r="A25" s="14"/>
      <c r="B25" t="s">
        <v>725</v>
      </c>
    </row>
    <row r="26" spans="1:2">
      <c r="A26" s="14"/>
      <c r="B26" t="s">
        <v>726</v>
      </c>
    </row>
    <row r="27" spans="1:2">
      <c r="A27" s="14"/>
      <c r="B27" t="s">
        <v>727</v>
      </c>
    </row>
    <row r="28" spans="1:2">
      <c r="A28" s="79">
        <v>3</v>
      </c>
      <c r="B28" s="79" t="s">
        <v>728</v>
      </c>
    </row>
    <row r="29" spans="1:2">
      <c r="A29" s="14"/>
      <c r="B29" s="74" t="s">
        <v>729</v>
      </c>
    </row>
    <row r="30" spans="1:2">
      <c r="A30" s="79">
        <v>4</v>
      </c>
      <c r="B30" s="79" t="s">
        <v>730</v>
      </c>
    </row>
    <row r="31" spans="1:2">
      <c r="A31" s="14"/>
      <c r="B31" t="s">
        <v>731</v>
      </c>
    </row>
    <row r="32" spans="1:2">
      <c r="A32" s="14"/>
      <c r="B32" t="s">
        <v>732</v>
      </c>
    </row>
    <row r="33" spans="1:2">
      <c r="A33" s="14"/>
      <c r="B33" t="s">
        <v>733</v>
      </c>
    </row>
    <row r="34" spans="1:2">
      <c r="A34" s="14"/>
      <c r="B34" t="s">
        <v>731</v>
      </c>
    </row>
    <row r="35" spans="1:2">
      <c r="A35" s="79">
        <v>5</v>
      </c>
      <c r="B35" s="79" t="s">
        <v>734</v>
      </c>
    </row>
    <row r="36" spans="1:2">
      <c r="A36" s="14"/>
      <c r="B36" t="s">
        <v>735</v>
      </c>
    </row>
    <row r="37" spans="1:2">
      <c r="B37" t="s">
        <v>736</v>
      </c>
    </row>
    <row r="38" spans="1:2">
      <c r="B38" t="s">
        <v>737</v>
      </c>
    </row>
    <row r="39" spans="1:2">
      <c r="A39" s="79">
        <v>6</v>
      </c>
      <c r="B39" s="79" t="s">
        <v>738</v>
      </c>
    </row>
    <row r="40" spans="1:2">
      <c r="B40" s="74" t="s">
        <v>739</v>
      </c>
    </row>
    <row r="41" spans="1:2">
      <c r="A41" s="79">
        <v>7</v>
      </c>
      <c r="B41" s="79" t="s">
        <v>740</v>
      </c>
    </row>
    <row r="42" spans="1:2">
      <c r="B42" s="74" t="s">
        <v>741</v>
      </c>
    </row>
  </sheetData>
  <mergeCells count="10">
    <mergeCell ref="A1:K1"/>
    <mergeCell ref="A2:K2"/>
    <mergeCell ref="A3:K3"/>
    <mergeCell ref="B4:B5"/>
    <mergeCell ref="C4:C5"/>
    <mergeCell ref="E4:G4"/>
    <mergeCell ref="H4:J4"/>
    <mergeCell ref="A4:A5"/>
    <mergeCell ref="D4:D5"/>
    <mergeCell ref="K4:K5"/>
  </mergeCells>
  <phoneticPr fontId="5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31"/>
  <sheetViews>
    <sheetView topLeftCell="C11" zoomScale="89" zoomScaleNormal="89" workbookViewId="0">
      <selection activeCell="J22" sqref="J22"/>
    </sheetView>
  </sheetViews>
  <sheetFormatPr defaultRowHeight="12.75"/>
  <cols>
    <col min="2" max="2" width="27.7109375" bestFit="1" customWidth="1"/>
    <col min="3" max="3" width="13.42578125" bestFit="1" customWidth="1"/>
    <col min="4" max="4" width="15.7109375" bestFit="1" customWidth="1"/>
    <col min="5" max="5" width="12.140625" bestFit="1" customWidth="1"/>
    <col min="6" max="6" width="11.140625" bestFit="1" customWidth="1"/>
    <col min="7" max="7" width="16.28515625" bestFit="1" customWidth="1"/>
    <col min="8" max="8" width="10.140625" bestFit="1" customWidth="1"/>
    <col min="9" max="9" width="14.42578125" customWidth="1"/>
    <col min="10" max="10" width="56.140625" customWidth="1"/>
  </cols>
  <sheetData>
    <row r="1" spans="1:10">
      <c r="A1" s="831" t="s">
        <v>947</v>
      </c>
      <c r="B1" s="831"/>
      <c r="C1" s="831"/>
      <c r="D1" s="831"/>
      <c r="E1" s="831"/>
      <c r="F1" s="831"/>
      <c r="G1" s="831"/>
      <c r="H1" s="831"/>
      <c r="I1" s="831"/>
      <c r="J1" s="831"/>
    </row>
    <row r="2" spans="1:10">
      <c r="A2" s="831"/>
      <c r="B2" s="831"/>
      <c r="C2" s="831"/>
      <c r="D2" s="831"/>
      <c r="E2" s="831"/>
      <c r="F2" s="831"/>
      <c r="G2" s="831"/>
      <c r="H2" s="831"/>
      <c r="I2" s="831"/>
      <c r="J2" s="831"/>
    </row>
    <row r="3" spans="1:10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0">
      <c r="A4" s="443" t="s">
        <v>994</v>
      </c>
      <c r="B4" s="11"/>
      <c r="C4" s="444">
        <f ca="1">NOW()</f>
        <v>44336.602316203702</v>
      </c>
      <c r="D4" s="11"/>
      <c r="E4" s="11"/>
      <c r="F4" s="11"/>
      <c r="G4" s="11"/>
      <c r="H4" s="11"/>
      <c r="I4" s="11"/>
      <c r="J4" s="11"/>
    </row>
    <row r="5" spans="1:10" ht="13.5" thickBot="1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3.5" thickTop="1">
      <c r="A6" s="832" t="s">
        <v>566</v>
      </c>
      <c r="B6" s="832" t="s">
        <v>340</v>
      </c>
      <c r="C6" s="832" t="s">
        <v>747</v>
      </c>
      <c r="D6" s="832" t="s">
        <v>948</v>
      </c>
      <c r="E6" s="832" t="s">
        <v>949</v>
      </c>
      <c r="F6" s="832" t="s">
        <v>950</v>
      </c>
      <c r="G6" s="834" t="s">
        <v>951</v>
      </c>
      <c r="H6" s="834"/>
      <c r="I6" s="834"/>
      <c r="J6" s="835" t="s">
        <v>952</v>
      </c>
    </row>
    <row r="7" spans="1:10" ht="13.5" thickBot="1">
      <c r="A7" s="833"/>
      <c r="B7" s="833"/>
      <c r="C7" s="833"/>
      <c r="D7" s="833"/>
      <c r="E7" s="833"/>
      <c r="F7" s="833"/>
      <c r="G7" s="430" t="s">
        <v>953</v>
      </c>
      <c r="H7" s="430" t="s">
        <v>954</v>
      </c>
      <c r="I7" s="430" t="s">
        <v>955</v>
      </c>
      <c r="J7" s="836"/>
    </row>
    <row r="8" spans="1:10" ht="14.25" thickTop="1" thickBot="1">
      <c r="A8" s="356">
        <v>1</v>
      </c>
      <c r="B8" s="356" t="s">
        <v>956</v>
      </c>
      <c r="C8" s="356" t="s">
        <v>957</v>
      </c>
      <c r="D8" s="434">
        <v>29821</v>
      </c>
      <c r="E8" s="433"/>
      <c r="F8" s="438" t="str">
        <f>CHOOSE(WEEKDAY(D8),"minggu","senin","selasa","rabu","kamis","jumat","sabtu")</f>
        <v>minggu</v>
      </c>
      <c r="G8" s="660">
        <f ca="1">DATEDIF(D8,$C$4,"Y")</f>
        <v>39</v>
      </c>
      <c r="H8" s="661">
        <f ca="1">DATEDIF(D8,$C$4,"M")</f>
        <v>476</v>
      </c>
      <c r="I8" s="662">
        <f ca="1">DATEDIF(D8,$C$4,"D")</f>
        <v>14515</v>
      </c>
      <c r="J8" s="439" t="str">
        <f>VLOOKUP(F8,$I$24:$O$31,2,0)</f>
        <v>PERIANG, CENTIL,RINGAN TANGAN, KHARISMATIK</v>
      </c>
    </row>
    <row r="9" spans="1:10" ht="14.25" thickTop="1" thickBot="1">
      <c r="A9" s="359">
        <v>2</v>
      </c>
      <c r="B9" s="359" t="s">
        <v>958</v>
      </c>
      <c r="C9" s="359" t="s">
        <v>957</v>
      </c>
      <c r="D9" s="435">
        <v>31393</v>
      </c>
      <c r="E9" s="433"/>
      <c r="F9" s="438" t="str">
        <f t="shared" ref="F9:F22" si="0">CHOOSE(WEEKDAY(D9),"minggu","senin","selasa","rabu","kamis","jumat","sabtu")</f>
        <v>kamis</v>
      </c>
      <c r="G9" s="660">
        <f ca="1">DATEDIF(D9,$C$4,"Y")</f>
        <v>35</v>
      </c>
      <c r="H9" s="661">
        <f ca="1">DATEDIF(D9,$C$4,"M")</f>
        <v>425</v>
      </c>
      <c r="I9" s="662">
        <f ca="1">DATEDIF(D9,$C$4,"D")</f>
        <v>12943</v>
      </c>
      <c r="J9" s="439" t="str">
        <f>VLOOKUP(F9,$I$24:$O$31,2,FALSE)</f>
        <v>PEMARAH, KERAS HATI, SUKA DIPUJI</v>
      </c>
    </row>
    <row r="10" spans="1:10" ht="14.25" thickTop="1" thickBot="1">
      <c r="A10" s="359">
        <v>3</v>
      </c>
      <c r="B10" s="359" t="s">
        <v>959</v>
      </c>
      <c r="C10" s="359" t="s">
        <v>957</v>
      </c>
      <c r="D10" s="435">
        <v>36892</v>
      </c>
      <c r="E10" s="433"/>
      <c r="F10" s="438" t="str">
        <f t="shared" si="0"/>
        <v>senin</v>
      </c>
      <c r="G10" s="660">
        <f t="shared" ref="G10:G22" ca="1" si="1">DATEDIF(D10,$C$4,"Y")</f>
        <v>20</v>
      </c>
      <c r="H10" s="661">
        <f t="shared" ref="H10:H22" ca="1" si="2">DATEDIF(D10,$C$4,"M")</f>
        <v>244</v>
      </c>
      <c r="I10" s="662">
        <f t="shared" ref="I10:I22" ca="1" si="3">DATEDIF(D10,$C$4,"D")</f>
        <v>7444</v>
      </c>
      <c r="J10" s="439" t="str">
        <f t="shared" ref="J10:J22" si="4">VLOOKUP(F10,$I$24:$O$31,2,FALSE)</f>
        <v>JUJUR, TEGAS, PENOLONG</v>
      </c>
    </row>
    <row r="11" spans="1:10" ht="14.25" thickTop="1" thickBot="1">
      <c r="A11" s="359">
        <v>4</v>
      </c>
      <c r="B11" s="359" t="s">
        <v>960</v>
      </c>
      <c r="C11" s="359" t="s">
        <v>961</v>
      </c>
      <c r="D11" s="435">
        <v>28391</v>
      </c>
      <c r="E11" s="433"/>
      <c r="F11" s="438" t="str">
        <f t="shared" si="0"/>
        <v>jumat</v>
      </c>
      <c r="G11" s="660">
        <f t="shared" ca="1" si="1"/>
        <v>43</v>
      </c>
      <c r="H11" s="661">
        <f t="shared" ca="1" si="2"/>
        <v>523</v>
      </c>
      <c r="I11" s="662">
        <f t="shared" ca="1" si="3"/>
        <v>15945</v>
      </c>
      <c r="J11" s="439" t="str">
        <f t="shared" si="4"/>
        <v>PERIANG, RAMAH, DAN CERDAS</v>
      </c>
    </row>
    <row r="12" spans="1:10" ht="14.25" thickTop="1" thickBot="1">
      <c r="A12" s="359">
        <v>5</v>
      </c>
      <c r="B12" s="359" t="s">
        <v>962</v>
      </c>
      <c r="C12" s="359" t="s">
        <v>961</v>
      </c>
      <c r="D12" s="435">
        <v>32906</v>
      </c>
      <c r="E12" s="433"/>
      <c r="F12" s="438" t="str">
        <f t="shared" si="0"/>
        <v>jumat</v>
      </c>
      <c r="G12" s="660">
        <f t="shared" ca="1" si="1"/>
        <v>31</v>
      </c>
      <c r="H12" s="661">
        <f t="shared" ca="1" si="2"/>
        <v>375</v>
      </c>
      <c r="I12" s="662">
        <f t="shared" ca="1" si="3"/>
        <v>11430</v>
      </c>
      <c r="J12" s="439" t="str">
        <f t="shared" si="4"/>
        <v>PERIANG, RAMAH, DAN CERDAS</v>
      </c>
    </row>
    <row r="13" spans="1:10" ht="14.25" thickTop="1" thickBot="1">
      <c r="A13" s="359">
        <v>6</v>
      </c>
      <c r="B13" s="359" t="s">
        <v>963</v>
      </c>
      <c r="C13" s="359" t="s">
        <v>961</v>
      </c>
      <c r="D13" s="435">
        <v>34339</v>
      </c>
      <c r="E13" s="433"/>
      <c r="F13" s="438" t="str">
        <f t="shared" si="0"/>
        <v>rabu</v>
      </c>
      <c r="G13" s="660">
        <f t="shared" ca="1" si="1"/>
        <v>27</v>
      </c>
      <c r="H13" s="661">
        <f t="shared" ca="1" si="2"/>
        <v>328</v>
      </c>
      <c r="I13" s="662">
        <f t="shared" ca="1" si="3"/>
        <v>9997</v>
      </c>
      <c r="J13" s="439" t="str">
        <f t="shared" si="4"/>
        <v>PENOLONG, TEGAS, TIDAK SABARAN</v>
      </c>
    </row>
    <row r="14" spans="1:10" ht="14.25" thickTop="1" thickBot="1">
      <c r="A14" s="359">
        <v>7</v>
      </c>
      <c r="B14" s="359" t="s">
        <v>964</v>
      </c>
      <c r="C14" s="359" t="s">
        <v>961</v>
      </c>
      <c r="D14" s="435">
        <v>33784</v>
      </c>
      <c r="E14" s="433"/>
      <c r="F14" s="438" t="str">
        <f t="shared" si="0"/>
        <v>senin</v>
      </c>
      <c r="G14" s="660">
        <f t="shared" ca="1" si="1"/>
        <v>28</v>
      </c>
      <c r="H14" s="661">
        <f t="shared" ca="1" si="2"/>
        <v>346</v>
      </c>
      <c r="I14" s="662">
        <f t="shared" ca="1" si="3"/>
        <v>10552</v>
      </c>
      <c r="J14" s="439" t="str">
        <f t="shared" si="4"/>
        <v>JUJUR, TEGAS, PENOLONG</v>
      </c>
    </row>
    <row r="15" spans="1:10" ht="14.25" thickTop="1" thickBot="1">
      <c r="A15" s="359">
        <v>8</v>
      </c>
      <c r="B15" s="359" t="s">
        <v>965</v>
      </c>
      <c r="C15" s="359" t="s">
        <v>966</v>
      </c>
      <c r="D15" s="435">
        <v>27712</v>
      </c>
      <c r="E15" s="433"/>
      <c r="F15" s="438" t="str">
        <f t="shared" si="0"/>
        <v>jumat</v>
      </c>
      <c r="G15" s="660">
        <f t="shared" ca="1" si="1"/>
        <v>45</v>
      </c>
      <c r="H15" s="661">
        <f t="shared" ca="1" si="2"/>
        <v>546</v>
      </c>
      <c r="I15" s="662">
        <f t="shared" ca="1" si="3"/>
        <v>16624</v>
      </c>
      <c r="J15" s="439" t="str">
        <f t="shared" si="4"/>
        <v>PERIANG, RAMAH, DAN CERDAS</v>
      </c>
    </row>
    <row r="16" spans="1:10" ht="14.25" thickTop="1" thickBot="1">
      <c r="A16" s="359">
        <v>9</v>
      </c>
      <c r="B16" s="359" t="s">
        <v>967</v>
      </c>
      <c r="C16" s="359" t="s">
        <v>968</v>
      </c>
      <c r="D16" s="435">
        <v>34734</v>
      </c>
      <c r="E16" s="433"/>
      <c r="F16" s="438" t="str">
        <f t="shared" si="0"/>
        <v>sabtu</v>
      </c>
      <c r="G16" s="660">
        <f t="shared" ca="1" si="1"/>
        <v>26</v>
      </c>
      <c r="H16" s="661">
        <f t="shared" ca="1" si="2"/>
        <v>315</v>
      </c>
      <c r="I16" s="662">
        <f t="shared" ca="1" si="3"/>
        <v>9602</v>
      </c>
      <c r="J16" s="439" t="str">
        <f t="shared" si="4"/>
        <v>SULIT DITEBAK, ANGIN-ANGINAN, KERAS DALAM BERJUANG</v>
      </c>
    </row>
    <row r="17" spans="1:15" ht="14.25" thickTop="1" thickBot="1">
      <c r="A17" s="359">
        <v>10</v>
      </c>
      <c r="B17" s="359" t="s">
        <v>969</v>
      </c>
      <c r="C17" s="359" t="s">
        <v>970</v>
      </c>
      <c r="D17" s="435">
        <v>32309</v>
      </c>
      <c r="E17" s="433"/>
      <c r="F17" s="438" t="str">
        <f t="shared" si="0"/>
        <v>rabu</v>
      </c>
      <c r="G17" s="660">
        <f t="shared" ca="1" si="1"/>
        <v>32</v>
      </c>
      <c r="H17" s="661">
        <f t="shared" ca="1" si="2"/>
        <v>395</v>
      </c>
      <c r="I17" s="662">
        <f t="shared" ca="1" si="3"/>
        <v>12027</v>
      </c>
      <c r="J17" s="439" t="str">
        <f t="shared" si="4"/>
        <v>PENOLONG, TEGAS, TIDAK SABARAN</v>
      </c>
    </row>
    <row r="18" spans="1:15" ht="14.25" thickTop="1" thickBot="1">
      <c r="A18" s="359">
        <v>11</v>
      </c>
      <c r="B18" s="359" t="s">
        <v>971</v>
      </c>
      <c r="C18" s="359" t="s">
        <v>972</v>
      </c>
      <c r="D18" s="435">
        <v>32427</v>
      </c>
      <c r="E18" s="433"/>
      <c r="F18" s="438" t="str">
        <f t="shared" si="0"/>
        <v>selasa</v>
      </c>
      <c r="G18" s="660">
        <f t="shared" ca="1" si="1"/>
        <v>32</v>
      </c>
      <c r="H18" s="661">
        <f t="shared" ca="1" si="2"/>
        <v>391</v>
      </c>
      <c r="I18" s="662">
        <f t="shared" ca="1" si="3"/>
        <v>11909</v>
      </c>
      <c r="J18" s="439" t="str">
        <f t="shared" si="4"/>
        <v>KADANG MUNAFIK, KERAS KEPALA</v>
      </c>
    </row>
    <row r="19" spans="1:15" ht="14.25" thickTop="1" thickBot="1">
      <c r="A19" s="359">
        <v>12</v>
      </c>
      <c r="B19" s="359" t="s">
        <v>973</v>
      </c>
      <c r="C19" s="359" t="s">
        <v>972</v>
      </c>
      <c r="D19" s="435">
        <v>23914</v>
      </c>
      <c r="E19" s="433"/>
      <c r="F19" s="438" t="str">
        <f t="shared" si="0"/>
        <v>senin</v>
      </c>
      <c r="G19" s="660">
        <f t="shared" ca="1" si="1"/>
        <v>55</v>
      </c>
      <c r="H19" s="661">
        <f t="shared" ca="1" si="2"/>
        <v>670</v>
      </c>
      <c r="I19" s="662">
        <f t="shared" ca="1" si="3"/>
        <v>20422</v>
      </c>
      <c r="J19" s="439" t="str">
        <f t="shared" si="4"/>
        <v>JUJUR, TEGAS, PENOLONG</v>
      </c>
    </row>
    <row r="20" spans="1:15" ht="14.25" thickTop="1" thickBot="1">
      <c r="A20" s="359">
        <v>13</v>
      </c>
      <c r="B20" s="359" t="s">
        <v>974</v>
      </c>
      <c r="C20" s="359" t="s">
        <v>975</v>
      </c>
      <c r="D20" s="435">
        <v>31062</v>
      </c>
      <c r="E20" s="433"/>
      <c r="F20" s="438" t="str">
        <f t="shared" si="0"/>
        <v>selasa</v>
      </c>
      <c r="G20" s="660">
        <f t="shared" ca="1" si="1"/>
        <v>36</v>
      </c>
      <c r="H20" s="661">
        <f t="shared" ca="1" si="2"/>
        <v>436</v>
      </c>
      <c r="I20" s="662">
        <f t="shared" ca="1" si="3"/>
        <v>13274</v>
      </c>
      <c r="J20" s="439" t="str">
        <f t="shared" si="4"/>
        <v>KADANG MUNAFIK, KERAS KEPALA</v>
      </c>
    </row>
    <row r="21" spans="1:15" ht="14.25" thickTop="1" thickBot="1">
      <c r="A21" s="359">
        <v>14</v>
      </c>
      <c r="B21" s="359" t="s">
        <v>976</v>
      </c>
      <c r="C21" s="359" t="s">
        <v>975</v>
      </c>
      <c r="D21" s="435">
        <v>35631</v>
      </c>
      <c r="E21" s="433"/>
      <c r="F21" s="438" t="str">
        <f t="shared" si="0"/>
        <v>minggu</v>
      </c>
      <c r="G21" s="660">
        <f t="shared" ca="1" si="1"/>
        <v>23</v>
      </c>
      <c r="H21" s="661">
        <f t="shared" ca="1" si="2"/>
        <v>286</v>
      </c>
      <c r="I21" s="662">
        <f t="shared" ca="1" si="3"/>
        <v>8705</v>
      </c>
      <c r="J21" s="439" t="str">
        <f t="shared" si="4"/>
        <v>PERIANG, CENTIL,RINGAN TANGAN, KHARISMATIK</v>
      </c>
    </row>
    <row r="22" spans="1:15" ht="14.25" thickTop="1" thickBot="1">
      <c r="A22" s="436">
        <v>15</v>
      </c>
      <c r="B22" s="436" t="s">
        <v>977</v>
      </c>
      <c r="C22" s="436" t="s">
        <v>978</v>
      </c>
      <c r="D22" s="437">
        <v>27783</v>
      </c>
      <c r="E22" s="433"/>
      <c r="F22" s="438" t="str">
        <f t="shared" si="0"/>
        <v>sabtu</v>
      </c>
      <c r="G22" s="660">
        <f t="shared" ca="1" si="1"/>
        <v>45</v>
      </c>
      <c r="H22" s="661">
        <f t="shared" ca="1" si="2"/>
        <v>543</v>
      </c>
      <c r="I22" s="662">
        <f t="shared" ca="1" si="3"/>
        <v>16553</v>
      </c>
      <c r="J22" s="439" t="str">
        <f t="shared" si="4"/>
        <v>SULIT DITEBAK, ANGIN-ANGINAN, KERAS DALAM BERJUANG</v>
      </c>
    </row>
    <row r="23" spans="1:15" ht="13.5" thickTop="1"/>
    <row r="24" spans="1:15" ht="25.5">
      <c r="B24" s="14" t="s">
        <v>671</v>
      </c>
      <c r="H24" s="431" t="s">
        <v>949</v>
      </c>
      <c r="I24" s="432" t="s">
        <v>950</v>
      </c>
      <c r="J24" s="830" t="s">
        <v>979</v>
      </c>
      <c r="K24" s="830"/>
      <c r="L24" s="830"/>
      <c r="M24" s="830"/>
      <c r="N24" s="830"/>
      <c r="O24" s="830"/>
    </row>
    <row r="25" spans="1:15">
      <c r="B25" s="57" t="s">
        <v>1142</v>
      </c>
      <c r="C25" s="57" t="s">
        <v>1143</v>
      </c>
      <c r="H25" s="433">
        <v>1</v>
      </c>
      <c r="I25" s="433" t="s">
        <v>980</v>
      </c>
      <c r="J25" s="440" t="s">
        <v>981</v>
      </c>
      <c r="K25" s="441"/>
      <c r="L25" s="441"/>
      <c r="M25" s="441"/>
      <c r="N25" s="441"/>
      <c r="O25" s="442"/>
    </row>
    <row r="26" spans="1:15">
      <c r="B26" s="57" t="s">
        <v>1144</v>
      </c>
      <c r="C26" s="57" t="s">
        <v>1145</v>
      </c>
      <c r="H26" s="433">
        <v>2</v>
      </c>
      <c r="I26" s="433" t="s">
        <v>982</v>
      </c>
      <c r="J26" s="440" t="s">
        <v>983</v>
      </c>
      <c r="K26" s="441"/>
      <c r="L26" s="441"/>
      <c r="M26" s="441"/>
      <c r="N26" s="441"/>
      <c r="O26" s="442"/>
    </row>
    <row r="27" spans="1:15">
      <c r="B27" s="57" t="s">
        <v>1146</v>
      </c>
      <c r="C27" s="57" t="s">
        <v>1145</v>
      </c>
      <c r="H27" s="433">
        <v>3</v>
      </c>
      <c r="I27" s="433" t="s">
        <v>984</v>
      </c>
      <c r="J27" s="440" t="s">
        <v>985</v>
      </c>
      <c r="K27" s="441"/>
      <c r="L27" s="441"/>
      <c r="M27" s="441"/>
      <c r="N27" s="441"/>
      <c r="O27" s="442"/>
    </row>
    <row r="28" spans="1:15">
      <c r="B28" s="57" t="s">
        <v>1147</v>
      </c>
      <c r="C28" s="449" t="s">
        <v>1148</v>
      </c>
      <c r="H28" s="433">
        <v>4</v>
      </c>
      <c r="I28" s="433" t="s">
        <v>986</v>
      </c>
      <c r="J28" s="440" t="s">
        <v>987</v>
      </c>
      <c r="K28" s="441"/>
      <c r="L28" s="441"/>
      <c r="M28" s="441"/>
      <c r="N28" s="441"/>
      <c r="O28" s="442"/>
    </row>
    <row r="29" spans="1:15">
      <c r="H29" s="433">
        <v>5</v>
      </c>
      <c r="I29" s="433" t="s">
        <v>988</v>
      </c>
      <c r="J29" s="440" t="s">
        <v>989</v>
      </c>
      <c r="K29" s="441"/>
      <c r="L29" s="441"/>
      <c r="M29" s="441"/>
      <c r="N29" s="441"/>
      <c r="O29" s="442"/>
    </row>
    <row r="30" spans="1:15">
      <c r="H30" s="433">
        <v>6</v>
      </c>
      <c r="I30" s="433" t="s">
        <v>990</v>
      </c>
      <c r="J30" s="440" t="s">
        <v>991</v>
      </c>
      <c r="K30" s="441"/>
      <c r="L30" s="441"/>
      <c r="M30" s="441"/>
      <c r="N30" s="441"/>
      <c r="O30" s="442"/>
    </row>
    <row r="31" spans="1:15">
      <c r="H31" s="433">
        <v>7</v>
      </c>
      <c r="I31" s="433" t="s">
        <v>992</v>
      </c>
      <c r="J31" s="440" t="s">
        <v>993</v>
      </c>
      <c r="K31" s="441"/>
      <c r="L31" s="441"/>
      <c r="M31" s="441"/>
      <c r="N31" s="441"/>
      <c r="O31" s="442"/>
    </row>
  </sheetData>
  <mergeCells count="10">
    <mergeCell ref="J24:O24"/>
    <mergeCell ref="A1:J2"/>
    <mergeCell ref="A6:A7"/>
    <mergeCell ref="B6:B7"/>
    <mergeCell ref="C6:C7"/>
    <mergeCell ref="D6:D7"/>
    <mergeCell ref="E6:E7"/>
    <mergeCell ref="F6:F7"/>
    <mergeCell ref="G6:I6"/>
    <mergeCell ref="J6:J7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R24"/>
  <sheetViews>
    <sheetView topLeftCell="H5" zoomScale="90" zoomScaleNormal="90" workbookViewId="0">
      <selection activeCell="Q6" sqref="Q6:Q15"/>
    </sheetView>
  </sheetViews>
  <sheetFormatPr defaultRowHeight="12.75"/>
  <cols>
    <col min="2" max="2" width="20.5703125" bestFit="1" customWidth="1"/>
    <col min="3" max="3" width="12.85546875" bestFit="1" customWidth="1"/>
    <col min="4" max="4" width="9.85546875" bestFit="1" customWidth="1"/>
    <col min="5" max="5" width="15.7109375" customWidth="1"/>
    <col min="6" max="6" width="11.85546875" bestFit="1" customWidth="1"/>
    <col min="8" max="8" width="13.85546875" customWidth="1"/>
    <col min="10" max="10" width="12" customWidth="1"/>
    <col min="11" max="11" width="10.42578125" customWidth="1"/>
    <col min="12" max="12" width="12" bestFit="1" customWidth="1"/>
    <col min="15" max="15" width="10.5703125" customWidth="1"/>
    <col min="16" max="16" width="12.85546875" customWidth="1"/>
    <col min="17" max="17" width="12.42578125" bestFit="1" customWidth="1"/>
  </cols>
  <sheetData>
    <row r="1" spans="1:18" ht="26.25">
      <c r="A1" s="837" t="s">
        <v>995</v>
      </c>
      <c r="B1" s="838"/>
      <c r="C1" s="838"/>
      <c r="D1" s="838"/>
      <c r="E1" s="838"/>
      <c r="F1" s="838"/>
      <c r="G1" s="838"/>
      <c r="H1" s="838"/>
      <c r="I1" s="838"/>
      <c r="J1" s="838"/>
      <c r="K1" s="838"/>
      <c r="L1" s="838"/>
      <c r="M1" s="838"/>
      <c r="N1" s="838"/>
      <c r="O1" s="838"/>
      <c r="P1" s="838"/>
      <c r="Q1" s="838"/>
      <c r="R1" s="838"/>
    </row>
    <row r="2" spans="1:18" ht="26.25">
      <c r="A2" s="837" t="s">
        <v>996</v>
      </c>
      <c r="B2" s="837"/>
      <c r="C2" s="837"/>
      <c r="D2" s="837"/>
      <c r="E2" s="837"/>
      <c r="F2" s="837"/>
      <c r="G2" s="837"/>
      <c r="H2" s="837"/>
      <c r="I2" s="837"/>
      <c r="J2" s="837"/>
      <c r="K2" s="837"/>
      <c r="L2" s="837"/>
      <c r="M2" s="837"/>
      <c r="N2" s="837"/>
      <c r="O2" s="837"/>
      <c r="P2" s="837"/>
      <c r="Q2" s="837"/>
      <c r="R2" s="837"/>
    </row>
    <row r="3" spans="1:18" ht="13.5" thickBot="1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</row>
    <row r="4" spans="1:18" ht="14.25" thickTop="1" thickBot="1">
      <c r="A4" s="839" t="s">
        <v>566</v>
      </c>
      <c r="B4" s="841" t="s">
        <v>650</v>
      </c>
      <c r="C4" s="841" t="s">
        <v>997</v>
      </c>
      <c r="D4" s="841" t="s">
        <v>998</v>
      </c>
      <c r="E4" s="841" t="s">
        <v>654</v>
      </c>
      <c r="F4" s="843" t="s">
        <v>339</v>
      </c>
      <c r="G4" s="843"/>
      <c r="H4" s="843" t="s">
        <v>924</v>
      </c>
      <c r="I4" s="843"/>
      <c r="J4" s="843"/>
      <c r="K4" s="843"/>
      <c r="L4" s="841" t="s">
        <v>999</v>
      </c>
      <c r="M4" s="843" t="s">
        <v>658</v>
      </c>
      <c r="N4" s="843"/>
      <c r="O4" s="843"/>
      <c r="P4" s="844" t="s">
        <v>1000</v>
      </c>
      <c r="Q4" s="846" t="s">
        <v>1001</v>
      </c>
    </row>
    <row r="5" spans="1:18" ht="27" thickTop="1" thickBot="1">
      <c r="A5" s="840"/>
      <c r="B5" s="842"/>
      <c r="C5" s="842"/>
      <c r="D5" s="842"/>
      <c r="E5" s="842"/>
      <c r="F5" s="450" t="s">
        <v>1002</v>
      </c>
      <c r="G5" s="451" t="s">
        <v>1003</v>
      </c>
      <c r="H5" s="870" t="s">
        <v>1004</v>
      </c>
      <c r="I5" s="451" t="s">
        <v>1005</v>
      </c>
      <c r="J5" s="450" t="s">
        <v>1006</v>
      </c>
      <c r="K5" s="451" t="s">
        <v>1007</v>
      </c>
      <c r="L5" s="842"/>
      <c r="M5" s="450" t="s">
        <v>1008</v>
      </c>
      <c r="N5" s="450" t="s">
        <v>1009</v>
      </c>
      <c r="O5" s="450" t="s">
        <v>1010</v>
      </c>
      <c r="P5" s="845"/>
      <c r="Q5" s="847"/>
    </row>
    <row r="6" spans="1:18" ht="13.5" thickTop="1">
      <c r="A6" s="452">
        <v>1</v>
      </c>
      <c r="B6" s="279" t="s">
        <v>1011</v>
      </c>
      <c r="C6" s="279">
        <v>971117012</v>
      </c>
      <c r="D6" s="279" t="s">
        <v>1012</v>
      </c>
      <c r="E6" s="281">
        <f>VLOOKUP(D6,$B$18:$C$23,2,0)</f>
        <v>850000</v>
      </c>
      <c r="F6" s="279">
        <v>25</v>
      </c>
      <c r="G6" s="279">
        <v>13</v>
      </c>
      <c r="H6" s="871">
        <f>0.16*E6</f>
        <v>136000</v>
      </c>
      <c r="I6" s="456">
        <f>7500*F6</f>
        <v>187500</v>
      </c>
      <c r="J6" s="663">
        <f>15000*F6</f>
        <v>375000</v>
      </c>
      <c r="K6" s="663">
        <f>85000*G6</f>
        <v>1105000</v>
      </c>
      <c r="L6" s="463">
        <f>E6+I6+J6+K6</f>
        <v>2517500</v>
      </c>
      <c r="M6" s="456">
        <f>0.2*E6</f>
        <v>170000</v>
      </c>
      <c r="N6" s="456">
        <f>0.125*E6</f>
        <v>106250</v>
      </c>
      <c r="O6" s="456">
        <f>2.5%*E6</f>
        <v>21250</v>
      </c>
      <c r="P6" s="456">
        <f>M6+N6-O6</f>
        <v>255000</v>
      </c>
      <c r="Q6" s="464">
        <f>L6-P6</f>
        <v>2262500</v>
      </c>
    </row>
    <row r="7" spans="1:18">
      <c r="A7" s="453">
        <v>2</v>
      </c>
      <c r="B7" s="280" t="s">
        <v>1013</v>
      </c>
      <c r="C7" s="280">
        <v>971127113</v>
      </c>
      <c r="D7" s="280" t="s">
        <v>1014</v>
      </c>
      <c r="E7" s="281">
        <f>VLOOKUP(D7,$B$18:$C$23,2,FALSE)</f>
        <v>1500000</v>
      </c>
      <c r="F7" s="280">
        <v>30</v>
      </c>
      <c r="G7" s="280">
        <v>15</v>
      </c>
      <c r="H7" s="871">
        <f t="shared" ref="H7:H15" si="0">0.16*E7</f>
        <v>240000</v>
      </c>
      <c r="I7" s="456">
        <f>7500*F7</f>
        <v>225000</v>
      </c>
      <c r="J7" s="456">
        <f>15000*F7</f>
        <v>450000</v>
      </c>
      <c r="K7" s="663">
        <f>85000*G7</f>
        <v>1275000</v>
      </c>
      <c r="L7" s="463">
        <f t="shared" ref="L7:L15" si="1">E7+I7+J7+K7</f>
        <v>3450000</v>
      </c>
      <c r="M7" s="456">
        <f t="shared" ref="M7:M15" si="2">0.2*E7</f>
        <v>300000</v>
      </c>
      <c r="N7" s="456">
        <f t="shared" ref="N7:N15" si="3">0.125*E7</f>
        <v>187500</v>
      </c>
      <c r="O7" s="456">
        <f t="shared" ref="O7:O15" si="4">2.5%*E7</f>
        <v>37500</v>
      </c>
      <c r="P7" s="456">
        <f t="shared" ref="P7:P15" si="5">M7+N7-O7</f>
        <v>450000</v>
      </c>
      <c r="Q7" s="464">
        <f t="shared" ref="Q7:Q15" si="6">L7-P7</f>
        <v>3000000</v>
      </c>
    </row>
    <row r="8" spans="1:18">
      <c r="A8" s="453">
        <v>3</v>
      </c>
      <c r="B8" s="280" t="s">
        <v>1015</v>
      </c>
      <c r="C8" s="280">
        <v>971127012</v>
      </c>
      <c r="D8" s="280" t="s">
        <v>1016</v>
      </c>
      <c r="E8" s="281">
        <f t="shared" ref="E8:E15" si="7">VLOOKUP(D8,$B$18:$C$23,2,FALSE)</f>
        <v>900000</v>
      </c>
      <c r="F8" s="280">
        <v>26</v>
      </c>
      <c r="G8" s="280">
        <v>16</v>
      </c>
      <c r="H8" s="871">
        <f t="shared" si="0"/>
        <v>144000</v>
      </c>
      <c r="I8" s="456">
        <f t="shared" ref="I8:I15" si="8">7500*F8</f>
        <v>195000</v>
      </c>
      <c r="J8" s="456">
        <f t="shared" ref="J8:J15" si="9">15000*F8</f>
        <v>390000</v>
      </c>
      <c r="K8" s="663">
        <f t="shared" ref="K8:K15" si="10">85000*G8</f>
        <v>1360000</v>
      </c>
      <c r="L8" s="463">
        <f t="shared" si="1"/>
        <v>2845000</v>
      </c>
      <c r="M8" s="456">
        <f t="shared" si="2"/>
        <v>180000</v>
      </c>
      <c r="N8" s="456">
        <f t="shared" si="3"/>
        <v>112500</v>
      </c>
      <c r="O8" s="456">
        <f t="shared" si="4"/>
        <v>22500</v>
      </c>
      <c r="P8" s="456">
        <f t="shared" si="5"/>
        <v>270000</v>
      </c>
      <c r="Q8" s="464">
        <f t="shared" si="6"/>
        <v>2575000</v>
      </c>
    </row>
    <row r="9" spans="1:18">
      <c r="A9" s="453">
        <v>4</v>
      </c>
      <c r="B9" s="280" t="s">
        <v>1017</v>
      </c>
      <c r="C9" s="280">
        <v>971126520</v>
      </c>
      <c r="D9" s="280" t="s">
        <v>1012</v>
      </c>
      <c r="E9" s="281">
        <f t="shared" si="7"/>
        <v>850000</v>
      </c>
      <c r="F9" s="280">
        <v>24</v>
      </c>
      <c r="G9" s="280">
        <v>1</v>
      </c>
      <c r="H9" s="871">
        <f t="shared" si="0"/>
        <v>136000</v>
      </c>
      <c r="I9" s="456">
        <f t="shared" si="8"/>
        <v>180000</v>
      </c>
      <c r="J9" s="456">
        <f t="shared" si="9"/>
        <v>360000</v>
      </c>
      <c r="K9" s="663">
        <f t="shared" si="10"/>
        <v>85000</v>
      </c>
      <c r="L9" s="463">
        <f t="shared" si="1"/>
        <v>1475000</v>
      </c>
      <c r="M9" s="456">
        <f t="shared" si="2"/>
        <v>170000</v>
      </c>
      <c r="N9" s="456">
        <f t="shared" si="3"/>
        <v>106250</v>
      </c>
      <c r="O9" s="456">
        <f t="shared" si="4"/>
        <v>21250</v>
      </c>
      <c r="P9" s="456">
        <f t="shared" si="5"/>
        <v>255000</v>
      </c>
      <c r="Q9" s="464">
        <f t="shared" si="6"/>
        <v>1220000</v>
      </c>
    </row>
    <row r="10" spans="1:18">
      <c r="A10" s="453">
        <v>5</v>
      </c>
      <c r="B10" s="280" t="s">
        <v>1018</v>
      </c>
      <c r="C10" s="280">
        <v>971127101</v>
      </c>
      <c r="D10" s="280" t="s">
        <v>1019</v>
      </c>
      <c r="E10" s="281">
        <f t="shared" si="7"/>
        <v>1350000</v>
      </c>
      <c r="F10" s="280">
        <v>29</v>
      </c>
      <c r="G10" s="280">
        <v>22</v>
      </c>
      <c r="H10" s="871">
        <f t="shared" si="0"/>
        <v>216000</v>
      </c>
      <c r="I10" s="456">
        <f t="shared" si="8"/>
        <v>217500</v>
      </c>
      <c r="J10" s="456">
        <f t="shared" si="9"/>
        <v>435000</v>
      </c>
      <c r="K10" s="663">
        <f t="shared" si="10"/>
        <v>1870000</v>
      </c>
      <c r="L10" s="463">
        <f t="shared" si="1"/>
        <v>3872500</v>
      </c>
      <c r="M10" s="456">
        <f t="shared" si="2"/>
        <v>270000</v>
      </c>
      <c r="N10" s="456">
        <f t="shared" si="3"/>
        <v>168750</v>
      </c>
      <c r="O10" s="456">
        <f t="shared" si="4"/>
        <v>33750</v>
      </c>
      <c r="P10" s="456">
        <f t="shared" si="5"/>
        <v>405000</v>
      </c>
      <c r="Q10" s="464">
        <f t="shared" si="6"/>
        <v>3467500</v>
      </c>
    </row>
    <row r="11" spans="1:18">
      <c r="A11" s="453">
        <v>6</v>
      </c>
      <c r="B11" s="280" t="s">
        <v>1020</v>
      </c>
      <c r="C11" s="280">
        <v>971117913</v>
      </c>
      <c r="D11" s="280" t="s">
        <v>1012</v>
      </c>
      <c r="E11" s="281">
        <f t="shared" si="7"/>
        <v>850000</v>
      </c>
      <c r="F11" s="280">
        <v>28</v>
      </c>
      <c r="G11" s="280">
        <v>9</v>
      </c>
      <c r="H11" s="871">
        <f t="shared" si="0"/>
        <v>136000</v>
      </c>
      <c r="I11" s="456">
        <f t="shared" si="8"/>
        <v>210000</v>
      </c>
      <c r="J11" s="456">
        <f t="shared" si="9"/>
        <v>420000</v>
      </c>
      <c r="K11" s="663">
        <f t="shared" si="10"/>
        <v>765000</v>
      </c>
      <c r="L11" s="463">
        <f t="shared" si="1"/>
        <v>2245000</v>
      </c>
      <c r="M11" s="456">
        <f t="shared" si="2"/>
        <v>170000</v>
      </c>
      <c r="N11" s="456">
        <f t="shared" si="3"/>
        <v>106250</v>
      </c>
      <c r="O11" s="456">
        <f t="shared" si="4"/>
        <v>21250</v>
      </c>
      <c r="P11" s="456">
        <f t="shared" si="5"/>
        <v>255000</v>
      </c>
      <c r="Q11" s="464">
        <f t="shared" si="6"/>
        <v>1990000</v>
      </c>
    </row>
    <row r="12" spans="1:18">
      <c r="A12" s="453">
        <v>7</v>
      </c>
      <c r="B12" s="280" t="s">
        <v>1021</v>
      </c>
      <c r="C12" s="280">
        <v>971127114</v>
      </c>
      <c r="D12" s="280" t="s">
        <v>1014</v>
      </c>
      <c r="E12" s="281">
        <f t="shared" si="7"/>
        <v>1500000</v>
      </c>
      <c r="F12" s="280">
        <v>23</v>
      </c>
      <c r="G12" s="280">
        <v>10</v>
      </c>
      <c r="H12" s="871">
        <f t="shared" si="0"/>
        <v>240000</v>
      </c>
      <c r="I12" s="456">
        <f t="shared" si="8"/>
        <v>172500</v>
      </c>
      <c r="J12" s="456">
        <f t="shared" si="9"/>
        <v>345000</v>
      </c>
      <c r="K12" s="663">
        <f t="shared" si="10"/>
        <v>850000</v>
      </c>
      <c r="L12" s="463">
        <f t="shared" si="1"/>
        <v>2867500</v>
      </c>
      <c r="M12" s="456">
        <f t="shared" si="2"/>
        <v>300000</v>
      </c>
      <c r="N12" s="456">
        <f t="shared" si="3"/>
        <v>187500</v>
      </c>
      <c r="O12" s="456">
        <f t="shared" si="4"/>
        <v>37500</v>
      </c>
      <c r="P12" s="456">
        <f t="shared" si="5"/>
        <v>450000</v>
      </c>
      <c r="Q12" s="464">
        <f t="shared" si="6"/>
        <v>2417500</v>
      </c>
    </row>
    <row r="13" spans="1:18">
      <c r="A13" s="453">
        <v>8</v>
      </c>
      <c r="B13" s="280" t="s">
        <v>1022</v>
      </c>
      <c r="C13" s="280">
        <v>971126520</v>
      </c>
      <c r="D13" s="280" t="s">
        <v>1023</v>
      </c>
      <c r="E13" s="281">
        <f t="shared" si="7"/>
        <v>950000</v>
      </c>
      <c r="F13" s="280">
        <v>27</v>
      </c>
      <c r="G13" s="280">
        <v>23</v>
      </c>
      <c r="H13" s="871">
        <f t="shared" si="0"/>
        <v>152000</v>
      </c>
      <c r="I13" s="456">
        <f t="shared" si="8"/>
        <v>202500</v>
      </c>
      <c r="J13" s="456">
        <f t="shared" si="9"/>
        <v>405000</v>
      </c>
      <c r="K13" s="663">
        <f t="shared" si="10"/>
        <v>1955000</v>
      </c>
      <c r="L13" s="463">
        <f t="shared" si="1"/>
        <v>3512500</v>
      </c>
      <c r="M13" s="456">
        <f t="shared" si="2"/>
        <v>190000</v>
      </c>
      <c r="N13" s="456">
        <f t="shared" si="3"/>
        <v>118750</v>
      </c>
      <c r="O13" s="456">
        <f t="shared" si="4"/>
        <v>23750</v>
      </c>
      <c r="P13" s="456">
        <f t="shared" si="5"/>
        <v>285000</v>
      </c>
      <c r="Q13" s="464">
        <f t="shared" si="6"/>
        <v>3227500</v>
      </c>
    </row>
    <row r="14" spans="1:18">
      <c r="A14" s="453">
        <v>9</v>
      </c>
      <c r="B14" s="280" t="s">
        <v>1024</v>
      </c>
      <c r="C14" s="280">
        <v>971127014</v>
      </c>
      <c r="D14" s="280" t="s">
        <v>1012</v>
      </c>
      <c r="E14" s="281">
        <f t="shared" si="7"/>
        <v>850000</v>
      </c>
      <c r="F14" s="280">
        <v>2</v>
      </c>
      <c r="G14" s="280">
        <v>4</v>
      </c>
      <c r="H14" s="871">
        <f t="shared" si="0"/>
        <v>136000</v>
      </c>
      <c r="I14" s="456">
        <f t="shared" si="8"/>
        <v>15000</v>
      </c>
      <c r="J14" s="456">
        <f t="shared" si="9"/>
        <v>30000</v>
      </c>
      <c r="K14" s="663">
        <f t="shared" si="10"/>
        <v>340000</v>
      </c>
      <c r="L14" s="463">
        <f t="shared" si="1"/>
        <v>1235000</v>
      </c>
      <c r="M14" s="456">
        <f t="shared" si="2"/>
        <v>170000</v>
      </c>
      <c r="N14" s="456">
        <f t="shared" si="3"/>
        <v>106250</v>
      </c>
      <c r="O14" s="456">
        <f t="shared" si="4"/>
        <v>21250</v>
      </c>
      <c r="P14" s="456">
        <f t="shared" si="5"/>
        <v>255000</v>
      </c>
      <c r="Q14" s="464">
        <f t="shared" si="6"/>
        <v>980000</v>
      </c>
    </row>
    <row r="15" spans="1:18" ht="13.5" thickBot="1">
      <c r="A15" s="454">
        <v>10</v>
      </c>
      <c r="B15" s="455" t="s">
        <v>1025</v>
      </c>
      <c r="C15" s="455">
        <v>971127101</v>
      </c>
      <c r="D15" s="455" t="s">
        <v>1019</v>
      </c>
      <c r="E15" s="281">
        <f t="shared" si="7"/>
        <v>1350000</v>
      </c>
      <c r="F15" s="455">
        <v>30</v>
      </c>
      <c r="G15" s="455">
        <v>0</v>
      </c>
      <c r="H15" s="871">
        <f t="shared" si="0"/>
        <v>216000</v>
      </c>
      <c r="I15" s="456">
        <f t="shared" si="8"/>
        <v>225000</v>
      </c>
      <c r="J15" s="456">
        <f t="shared" si="9"/>
        <v>450000</v>
      </c>
      <c r="K15" s="663">
        <f t="shared" si="10"/>
        <v>0</v>
      </c>
      <c r="L15" s="463">
        <f t="shared" si="1"/>
        <v>2025000</v>
      </c>
      <c r="M15" s="456">
        <f t="shared" si="2"/>
        <v>270000</v>
      </c>
      <c r="N15" s="456">
        <f t="shared" si="3"/>
        <v>168750</v>
      </c>
      <c r="O15" s="456">
        <f t="shared" si="4"/>
        <v>33750</v>
      </c>
      <c r="P15" s="456">
        <f t="shared" si="5"/>
        <v>405000</v>
      </c>
      <c r="Q15" s="464">
        <f t="shared" si="6"/>
        <v>1620000</v>
      </c>
    </row>
    <row r="16" spans="1:18" ht="13.5" thickTop="1"/>
    <row r="17" spans="2:16" ht="13.5" thickBot="1">
      <c r="E17" s="14" t="s">
        <v>1123</v>
      </c>
    </row>
    <row r="18" spans="2:16" ht="13.5" thickTop="1">
      <c r="B18" s="461" t="s">
        <v>998</v>
      </c>
      <c r="C18" s="462" t="s">
        <v>1026</v>
      </c>
      <c r="D18">
        <v>1</v>
      </c>
      <c r="E18" s="57" t="s">
        <v>1124</v>
      </c>
      <c r="I18">
        <v>6</v>
      </c>
      <c r="J18" s="57" t="s">
        <v>909</v>
      </c>
      <c r="L18" s="57" t="s">
        <v>686</v>
      </c>
      <c r="N18">
        <v>11</v>
      </c>
      <c r="O18" s="57" t="s">
        <v>1140</v>
      </c>
      <c r="P18" s="57" t="s">
        <v>1141</v>
      </c>
    </row>
    <row r="19" spans="2:16">
      <c r="B19" s="457" t="s">
        <v>1012</v>
      </c>
      <c r="C19" s="458">
        <v>850000</v>
      </c>
      <c r="D19">
        <v>2</v>
      </c>
      <c r="E19" s="57" t="s">
        <v>1125</v>
      </c>
      <c r="F19" s="57" t="s">
        <v>1126</v>
      </c>
      <c r="I19">
        <v>7</v>
      </c>
      <c r="J19" s="57" t="s">
        <v>1133</v>
      </c>
      <c r="L19" s="57" t="s">
        <v>1136</v>
      </c>
    </row>
    <row r="20" spans="2:16">
      <c r="B20" s="457" t="s">
        <v>1016</v>
      </c>
      <c r="C20" s="458">
        <v>900000</v>
      </c>
      <c r="D20">
        <v>3</v>
      </c>
      <c r="E20" s="57" t="s">
        <v>1127</v>
      </c>
      <c r="F20" s="57" t="s">
        <v>1128</v>
      </c>
      <c r="I20">
        <v>8</v>
      </c>
      <c r="J20" s="57" t="s">
        <v>1134</v>
      </c>
      <c r="L20" s="57" t="s">
        <v>1137</v>
      </c>
    </row>
    <row r="21" spans="2:16">
      <c r="B21" s="457" t="s">
        <v>1023</v>
      </c>
      <c r="C21" s="458">
        <v>950000</v>
      </c>
      <c r="D21">
        <v>4</v>
      </c>
      <c r="E21" s="57" t="s">
        <v>1129</v>
      </c>
      <c r="F21" s="57" t="s">
        <v>1130</v>
      </c>
      <c r="I21">
        <v>9</v>
      </c>
      <c r="J21" s="57" t="s">
        <v>74</v>
      </c>
      <c r="L21" s="57" t="s">
        <v>1138</v>
      </c>
    </row>
    <row r="22" spans="2:16">
      <c r="B22" s="457" t="s">
        <v>1019</v>
      </c>
      <c r="C22" s="458">
        <v>1350000</v>
      </c>
      <c r="D22">
        <v>5</v>
      </c>
      <c r="E22" s="57" t="s">
        <v>1131</v>
      </c>
      <c r="F22" s="57" t="s">
        <v>1132</v>
      </c>
      <c r="I22">
        <v>10</v>
      </c>
      <c r="J22" s="57" t="s">
        <v>1135</v>
      </c>
      <c r="L22" s="57" t="s">
        <v>1139</v>
      </c>
    </row>
    <row r="23" spans="2:16" ht="13.5" thickBot="1">
      <c r="B23" s="459" t="s">
        <v>1014</v>
      </c>
      <c r="C23" s="460">
        <v>1500000</v>
      </c>
    </row>
    <row r="24" spans="2:16" ht="13.5" thickTop="1"/>
  </sheetData>
  <mergeCells count="14">
    <mergeCell ref="A1:R1"/>
    <mergeCell ref="A2:R2"/>
    <mergeCell ref="A3:R3"/>
    <mergeCell ref="A4:A5"/>
    <mergeCell ref="B4:B5"/>
    <mergeCell ref="C4:C5"/>
    <mergeCell ref="D4:D5"/>
    <mergeCell ref="E4:E5"/>
    <mergeCell ref="F4:G4"/>
    <mergeCell ref="H4:K4"/>
    <mergeCell ref="L4:L5"/>
    <mergeCell ref="M4:O4"/>
    <mergeCell ref="P4:P5"/>
    <mergeCell ref="Q4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topLeftCell="A16" workbookViewId="0">
      <selection activeCell="D19" sqref="D19"/>
    </sheetView>
  </sheetViews>
  <sheetFormatPr defaultRowHeight="12.75"/>
  <cols>
    <col min="1" max="1" width="4.85546875" customWidth="1"/>
    <col min="2" max="2" width="10.7109375" customWidth="1"/>
    <col min="3" max="3" width="11.5703125" customWidth="1"/>
    <col min="4" max="4" width="19.85546875" customWidth="1"/>
  </cols>
  <sheetData>
    <row r="1" spans="1:4" ht="17.25">
      <c r="A1" s="22" t="s">
        <v>99</v>
      </c>
    </row>
    <row r="3" spans="1:4" ht="15">
      <c r="A3" s="708" t="s">
        <v>100</v>
      </c>
      <c r="B3" s="708"/>
      <c r="C3" s="708"/>
      <c r="D3" s="708"/>
    </row>
    <row r="4" spans="1:4" ht="19.5">
      <c r="A4" s="709" t="s">
        <v>101</v>
      </c>
      <c r="B4" s="709"/>
      <c r="C4" s="709"/>
      <c r="D4" s="709"/>
    </row>
    <row r="6" spans="1:4" ht="15.75" thickBot="1">
      <c r="A6" s="27" t="s">
        <v>102</v>
      </c>
      <c r="B6" s="27"/>
      <c r="C6" s="27"/>
      <c r="D6" s="28">
        <v>25000</v>
      </c>
    </row>
    <row r="7" spans="1:4" ht="15">
      <c r="A7" s="139" t="s">
        <v>2</v>
      </c>
      <c r="B7" s="140" t="s">
        <v>103</v>
      </c>
      <c r="C7" s="140" t="s">
        <v>116</v>
      </c>
      <c r="D7" s="141" t="s">
        <v>117</v>
      </c>
    </row>
    <row r="8" spans="1:4" ht="15">
      <c r="A8" s="138">
        <v>1</v>
      </c>
      <c r="B8" s="142" t="s">
        <v>104</v>
      </c>
      <c r="C8" s="143">
        <v>12</v>
      </c>
      <c r="D8" s="384">
        <f>C8*D6</f>
        <v>300000</v>
      </c>
    </row>
    <row r="9" spans="1:4" ht="15">
      <c r="A9" s="138">
        <v>2</v>
      </c>
      <c r="B9" s="142" t="s">
        <v>105</v>
      </c>
      <c r="C9" s="143">
        <v>24</v>
      </c>
      <c r="D9" s="384">
        <f>C9*D6</f>
        <v>600000</v>
      </c>
    </row>
    <row r="10" spans="1:4" ht="15">
      <c r="A10" s="138">
        <v>3</v>
      </c>
      <c r="B10" s="142" t="s">
        <v>106</v>
      </c>
      <c r="C10" s="143">
        <v>18</v>
      </c>
      <c r="D10" s="384">
        <f>C10*D6</f>
        <v>450000</v>
      </c>
    </row>
    <row r="11" spans="1:4" ht="15">
      <c r="A11" s="138">
        <v>4</v>
      </c>
      <c r="B11" s="142" t="s">
        <v>107</v>
      </c>
      <c r="C11" s="143">
        <v>16</v>
      </c>
      <c r="D11" s="384">
        <f>C11*D6</f>
        <v>400000</v>
      </c>
    </row>
    <row r="12" spans="1:4" ht="15">
      <c r="A12" s="138">
        <v>5</v>
      </c>
      <c r="B12" s="142" t="s">
        <v>108</v>
      </c>
      <c r="C12" s="143">
        <v>16</v>
      </c>
      <c r="D12" s="384">
        <f>C12*D6</f>
        <v>400000</v>
      </c>
    </row>
    <row r="13" spans="1:4" ht="15">
      <c r="A13" s="138">
        <v>6</v>
      </c>
      <c r="B13" s="142" t="s">
        <v>109</v>
      </c>
      <c r="C13" s="143">
        <v>20</v>
      </c>
      <c r="D13" s="384">
        <f>C13*D6</f>
        <v>500000</v>
      </c>
    </row>
    <row r="14" spans="1:4" ht="15">
      <c r="A14" s="138">
        <v>7</v>
      </c>
      <c r="B14" s="142" t="s">
        <v>110</v>
      </c>
      <c r="C14" s="143">
        <v>10</v>
      </c>
      <c r="D14" s="384">
        <f>C14*D6</f>
        <v>250000</v>
      </c>
    </row>
    <row r="15" spans="1:4" ht="15.75" thickBot="1">
      <c r="A15" s="138">
        <v>8</v>
      </c>
      <c r="B15" s="142" t="s">
        <v>111</v>
      </c>
      <c r="C15" s="144">
        <v>24</v>
      </c>
      <c r="D15" s="384">
        <f>C15*D6</f>
        <v>600000</v>
      </c>
    </row>
    <row r="16" spans="1:4" ht="15.75" thickTop="1">
      <c r="A16" s="138" t="s">
        <v>112</v>
      </c>
      <c r="B16" s="145"/>
      <c r="C16" s="148"/>
      <c r="D16" s="384">
        <f>SUM(D8:D15)</f>
        <v>3500000</v>
      </c>
    </row>
    <row r="17" spans="1:4" ht="15">
      <c r="A17" s="138" t="s">
        <v>113</v>
      </c>
      <c r="B17" s="145"/>
      <c r="C17" s="149"/>
      <c r="D17" s="384">
        <f>MAX(D8:D15)</f>
        <v>600000</v>
      </c>
    </row>
    <row r="18" spans="1:4" ht="15">
      <c r="A18" s="138" t="s">
        <v>114</v>
      </c>
      <c r="B18" s="145"/>
      <c r="C18" s="149"/>
      <c r="D18" s="384">
        <f>MIN(D8:D15)</f>
        <v>250000</v>
      </c>
    </row>
    <row r="19" spans="1:4" ht="15.75" thickBot="1">
      <c r="A19" s="146" t="s">
        <v>115</v>
      </c>
      <c r="B19" s="147"/>
      <c r="C19" s="150"/>
      <c r="D19" s="384">
        <f>AVERAGE(D8:D15)</f>
        <v>437500</v>
      </c>
    </row>
    <row r="22" spans="1:4" ht="15">
      <c r="A22" s="29" t="s">
        <v>119</v>
      </c>
    </row>
    <row r="23" spans="1:4" ht="15.75">
      <c r="A23" s="29" t="s">
        <v>185</v>
      </c>
    </row>
    <row r="24" spans="1:4" ht="15">
      <c r="A24" s="29" t="s">
        <v>120</v>
      </c>
    </row>
    <row r="25" spans="1:4" ht="15.75">
      <c r="A25" s="29" t="s">
        <v>186</v>
      </c>
    </row>
    <row r="26" spans="1:4" ht="15.75">
      <c r="A26" s="29" t="s">
        <v>187</v>
      </c>
    </row>
    <row r="27" spans="1:4" ht="15.75">
      <c r="A27" s="29" t="s">
        <v>188</v>
      </c>
    </row>
    <row r="28" spans="1:4" ht="15.75">
      <c r="A28" s="29" t="s">
        <v>189</v>
      </c>
    </row>
  </sheetData>
  <mergeCells count="2">
    <mergeCell ref="A3:D3"/>
    <mergeCell ref="A4:D4"/>
  </mergeCells>
  <phoneticPr fontId="5" type="noConversion"/>
  <pageMargins left="1.79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N36"/>
  <sheetViews>
    <sheetView topLeftCell="A17" workbookViewId="0">
      <selection activeCell="E23" sqref="E23"/>
    </sheetView>
  </sheetViews>
  <sheetFormatPr defaultRowHeight="12.75"/>
  <cols>
    <col min="1" max="1" width="15.5703125" customWidth="1"/>
    <col min="2" max="2" width="24.7109375" bestFit="1" customWidth="1"/>
    <col min="3" max="3" width="21.7109375" customWidth="1"/>
    <col min="4" max="4" width="10.140625" customWidth="1"/>
    <col min="5" max="5" width="10.7109375" customWidth="1"/>
    <col min="6" max="6" width="13.85546875" customWidth="1"/>
    <col min="7" max="7" width="12" customWidth="1"/>
    <col min="8" max="8" width="11.5703125" customWidth="1"/>
    <col min="9" max="9" width="24.42578125" customWidth="1"/>
    <col min="10" max="10" width="14.7109375" customWidth="1"/>
  </cols>
  <sheetData>
    <row r="1" spans="1:14" ht="21">
      <c r="A1" s="771" t="s">
        <v>1027</v>
      </c>
      <c r="B1" s="771"/>
      <c r="C1" s="771"/>
      <c r="D1" s="771"/>
      <c r="E1" s="771"/>
      <c r="F1" s="771"/>
      <c r="G1" s="771"/>
      <c r="H1" s="771"/>
      <c r="I1" s="771"/>
      <c r="J1" s="771"/>
      <c r="K1" s="771"/>
      <c r="L1" s="771"/>
      <c r="M1" s="771"/>
      <c r="N1" s="771"/>
    </row>
    <row r="2" spans="1:14" ht="21">
      <c r="A2" s="771" t="s">
        <v>1028</v>
      </c>
      <c r="B2" s="771"/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</row>
    <row r="3" spans="1:14">
      <c r="A3" s="773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</row>
    <row r="4" spans="1:14" ht="15.75" thickBot="1">
      <c r="A4" s="849" t="s">
        <v>1029</v>
      </c>
      <c r="B4" s="849"/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N4" s="849"/>
    </row>
    <row r="5" spans="1:14" ht="14.25" thickTop="1" thickBot="1">
      <c r="A5" s="465" t="s">
        <v>338</v>
      </c>
      <c r="B5" s="466" t="s">
        <v>1030</v>
      </c>
      <c r="C5" s="467" t="s">
        <v>1031</v>
      </c>
    </row>
    <row r="6" spans="1:14" ht="13.5" thickTop="1">
      <c r="A6" s="468" t="s">
        <v>1032</v>
      </c>
      <c r="B6" s="469" t="s">
        <v>1033</v>
      </c>
      <c r="C6" s="470">
        <v>1000000</v>
      </c>
    </row>
    <row r="7" spans="1:14">
      <c r="A7" s="471" t="s">
        <v>1034</v>
      </c>
      <c r="B7" s="472" t="s">
        <v>1035</v>
      </c>
      <c r="C7" s="473">
        <v>1500000</v>
      </c>
    </row>
    <row r="8" spans="1:14">
      <c r="A8" s="471" t="s">
        <v>1036</v>
      </c>
      <c r="B8" s="472" t="s">
        <v>1037</v>
      </c>
      <c r="C8" s="473">
        <v>1330000</v>
      </c>
    </row>
    <row r="9" spans="1:14" ht="13.5" thickBot="1">
      <c r="A9" s="474" t="s">
        <v>1038</v>
      </c>
      <c r="B9" s="475" t="s">
        <v>1039</v>
      </c>
      <c r="C9" s="476">
        <v>700000</v>
      </c>
    </row>
    <row r="10" spans="1:14" ht="13.5" thickTop="1"/>
    <row r="11" spans="1:14" ht="15.75" thickBot="1">
      <c r="A11" s="848" t="s">
        <v>1040</v>
      </c>
      <c r="B11" s="848"/>
      <c r="C11" s="848"/>
      <c r="D11" s="848"/>
      <c r="E11" s="848"/>
      <c r="F11" s="848"/>
      <c r="G11" s="848"/>
      <c r="H11" s="848"/>
      <c r="I11" s="848"/>
      <c r="J11" s="848"/>
      <c r="K11" s="848"/>
      <c r="L11" s="848"/>
      <c r="M11" s="848"/>
      <c r="N11" s="848"/>
    </row>
    <row r="12" spans="1:14" ht="13.5" thickTop="1">
      <c r="A12" s="477" t="s">
        <v>338</v>
      </c>
      <c r="B12" s="480" t="s">
        <v>1041</v>
      </c>
      <c r="C12" s="481" t="s">
        <v>1042</v>
      </c>
      <c r="D12" s="481" t="s">
        <v>1043</v>
      </c>
      <c r="E12" s="482" t="s">
        <v>1044</v>
      </c>
    </row>
    <row r="13" spans="1:14">
      <c r="A13" s="478" t="s">
        <v>1045</v>
      </c>
      <c r="B13" s="483" t="s">
        <v>1046</v>
      </c>
      <c r="C13" s="484" t="s">
        <v>1047</v>
      </c>
      <c r="D13" s="484" t="s">
        <v>1048</v>
      </c>
      <c r="E13" s="485" t="s">
        <v>1049</v>
      </c>
    </row>
    <row r="14" spans="1:14" ht="13.5" thickBot="1">
      <c r="A14" s="479" t="s">
        <v>347</v>
      </c>
      <c r="B14" s="486">
        <v>0.02</v>
      </c>
      <c r="C14" s="487">
        <v>0.02</v>
      </c>
      <c r="D14" s="487">
        <v>0.05</v>
      </c>
      <c r="E14" s="488">
        <v>0.05</v>
      </c>
    </row>
    <row r="15" spans="1:14" ht="13.5" thickTop="1"/>
    <row r="16" spans="1:14" ht="15.75" thickBot="1">
      <c r="A16" s="848" t="s">
        <v>1050</v>
      </c>
      <c r="B16" s="848"/>
      <c r="C16" s="848"/>
      <c r="D16" s="848"/>
      <c r="E16" s="848"/>
      <c r="F16" s="848"/>
      <c r="G16" s="848"/>
      <c r="H16" s="848"/>
      <c r="I16" s="848"/>
      <c r="J16" s="848"/>
      <c r="K16" s="848"/>
      <c r="L16" s="848"/>
      <c r="M16" s="848"/>
      <c r="N16" s="848"/>
    </row>
    <row r="17" spans="1:10" ht="39.75" thickTop="1" thickBot="1">
      <c r="A17" s="489" t="s">
        <v>338</v>
      </c>
      <c r="B17" s="490" t="s">
        <v>1051</v>
      </c>
      <c r="C17" s="490" t="s">
        <v>1030</v>
      </c>
      <c r="D17" s="491" t="s">
        <v>1045</v>
      </c>
      <c r="E17" s="490" t="s">
        <v>747</v>
      </c>
      <c r="F17" s="490" t="s">
        <v>1052</v>
      </c>
      <c r="G17" s="490" t="s">
        <v>347</v>
      </c>
      <c r="H17" s="490" t="s">
        <v>1053</v>
      </c>
      <c r="I17" s="665" t="s">
        <v>1265</v>
      </c>
      <c r="J17" s="667" t="s">
        <v>1266</v>
      </c>
    </row>
    <row r="18" spans="1:10" ht="14.25" thickTop="1" thickBot="1">
      <c r="A18" s="492" t="s">
        <v>1054</v>
      </c>
      <c r="B18" s="493" t="s">
        <v>1055</v>
      </c>
      <c r="C18" s="494" t="str">
        <f>VLOOKUP(LEFT(A18,5),$A$5:$C$9,2,0)</f>
        <v>PADANG - JAKARTA</v>
      </c>
      <c r="D18" s="494" t="str">
        <f>HLOOKUP(RIGHT(A18,2),$A$12:$E$14,2,0)</f>
        <v>GARUDA</v>
      </c>
      <c r="E18" s="494" t="str">
        <f>IF(MID(A18,5,3)="01","VIP",IF(MID(A18,5,3)="02","BISNIS","EKONOMI"))</f>
        <v>EKONOMI</v>
      </c>
      <c r="F18" s="495">
        <f>VLOOKUP(LEFT(A18,5),$A$5:$C$9,3,0)</f>
        <v>1000000</v>
      </c>
      <c r="G18" s="664">
        <f>HLOOKUP(RIGHT(A18,2),$A$12:$E$14,3,0)</f>
        <v>0.02</v>
      </c>
      <c r="H18" s="493" t="str">
        <f>IF(OR(E18="VIP",E18="BISNIS"),"KAOS","TOPI")</f>
        <v>TOPI</v>
      </c>
      <c r="I18" s="666">
        <f>F18*G18</f>
        <v>20000</v>
      </c>
      <c r="J18" s="668">
        <f>F18-I18</f>
        <v>980000</v>
      </c>
    </row>
    <row r="19" spans="1:10" ht="14.25" thickTop="1" thickBot="1">
      <c r="A19" s="496" t="s">
        <v>1056</v>
      </c>
      <c r="B19" s="497" t="s">
        <v>1057</v>
      </c>
      <c r="C19" s="494" t="str">
        <f t="shared" ref="C19:C25" si="0">VLOOKUP(LEFT(A19,5),$A$5:$C$9,2,0)</f>
        <v>YOGYA - PADANG</v>
      </c>
      <c r="D19" s="494" t="str">
        <f t="shared" ref="D19:D25" si="1">HLOOKUP(RIGHT(A19,2),$A$12:$E$14,2,0)</f>
        <v>SIMPATI</v>
      </c>
      <c r="E19" s="494" t="str">
        <f t="shared" ref="E19:E25" si="2">IF(MID(A19,5,3)="01","VIP",IF(MID(A19,5,3)="02","BISNIS","EKONOMI"))</f>
        <v>EKONOMI</v>
      </c>
      <c r="F19" s="495">
        <f t="shared" ref="F19:F25" si="3">VLOOKUP(LEFT(A19,5),$A$5:$C$9,3,0)</f>
        <v>1500000</v>
      </c>
      <c r="G19" s="664">
        <f t="shared" ref="G19:G25" si="4">HLOOKUP(RIGHT(A19,2),$A$12:$E$14,3,0)</f>
        <v>0.02</v>
      </c>
      <c r="H19" s="493" t="str">
        <f t="shared" ref="H19:H25" si="5">IF(OR(E19="VIP",E19="BISNIS"),"KAOS","TOPI")</f>
        <v>TOPI</v>
      </c>
      <c r="I19" s="666">
        <f t="shared" ref="I19:I25" si="6">F19*G19</f>
        <v>30000</v>
      </c>
      <c r="J19" s="668">
        <f t="shared" ref="J19:J25" si="7">F19-I19</f>
        <v>1470000</v>
      </c>
    </row>
    <row r="20" spans="1:10" ht="14.25" thickTop="1" thickBot="1">
      <c r="A20" s="496" t="s">
        <v>1058</v>
      </c>
      <c r="B20" s="497" t="s">
        <v>1059</v>
      </c>
      <c r="C20" s="494" t="str">
        <f t="shared" si="0"/>
        <v>SURABAYA - PADANG</v>
      </c>
      <c r="D20" s="494" t="str">
        <f t="shared" si="1"/>
        <v>GARUDA</v>
      </c>
      <c r="E20" s="494" t="str">
        <f t="shared" si="2"/>
        <v>EKONOMI</v>
      </c>
      <c r="F20" s="495">
        <f t="shared" si="3"/>
        <v>1330000</v>
      </c>
      <c r="G20" s="664">
        <f t="shared" si="4"/>
        <v>0.02</v>
      </c>
      <c r="H20" s="493" t="str">
        <f t="shared" si="5"/>
        <v>TOPI</v>
      </c>
      <c r="I20" s="666">
        <f t="shared" si="6"/>
        <v>26600</v>
      </c>
      <c r="J20" s="668">
        <f t="shared" si="7"/>
        <v>1303400</v>
      </c>
    </row>
    <row r="21" spans="1:10" ht="14.25" thickTop="1" thickBot="1">
      <c r="A21" s="496" t="s">
        <v>1060</v>
      </c>
      <c r="B21" s="497" t="s">
        <v>1061</v>
      </c>
      <c r="C21" s="494" t="str">
        <f t="shared" si="0"/>
        <v>MEDAN - PADANG</v>
      </c>
      <c r="D21" s="494" t="str">
        <f t="shared" si="1"/>
        <v>BURAQ</v>
      </c>
      <c r="E21" s="494" t="str">
        <f t="shared" si="2"/>
        <v>EKONOMI</v>
      </c>
      <c r="F21" s="495">
        <f t="shared" si="3"/>
        <v>700000</v>
      </c>
      <c r="G21" s="664">
        <f t="shared" si="4"/>
        <v>0.05</v>
      </c>
      <c r="H21" s="493" t="str">
        <f t="shared" si="5"/>
        <v>TOPI</v>
      </c>
      <c r="I21" s="666">
        <f t="shared" si="6"/>
        <v>35000</v>
      </c>
      <c r="J21" s="668">
        <f t="shared" si="7"/>
        <v>665000</v>
      </c>
    </row>
    <row r="22" spans="1:10" ht="14.25" thickTop="1" thickBot="1">
      <c r="A22" s="496" t="s">
        <v>1056</v>
      </c>
      <c r="B22" s="497" t="s">
        <v>1062</v>
      </c>
      <c r="C22" s="494" t="str">
        <f t="shared" si="0"/>
        <v>YOGYA - PADANG</v>
      </c>
      <c r="D22" s="494" t="str">
        <f t="shared" si="1"/>
        <v>SIMPATI</v>
      </c>
      <c r="E22" s="494" t="str">
        <f t="shared" si="2"/>
        <v>EKONOMI</v>
      </c>
      <c r="F22" s="495">
        <f t="shared" si="3"/>
        <v>1500000</v>
      </c>
      <c r="G22" s="664">
        <f t="shared" si="4"/>
        <v>0.02</v>
      </c>
      <c r="H22" s="493" t="str">
        <f t="shared" si="5"/>
        <v>TOPI</v>
      </c>
      <c r="I22" s="666">
        <f t="shared" si="6"/>
        <v>30000</v>
      </c>
      <c r="J22" s="668">
        <f t="shared" si="7"/>
        <v>1470000</v>
      </c>
    </row>
    <row r="23" spans="1:10" ht="14.25" thickTop="1" thickBot="1">
      <c r="A23" s="496" t="s">
        <v>1058</v>
      </c>
      <c r="B23" s="497" t="s">
        <v>1063</v>
      </c>
      <c r="C23" s="494" t="str">
        <f t="shared" si="0"/>
        <v>SURABAYA - PADANG</v>
      </c>
      <c r="D23" s="494" t="str">
        <f t="shared" si="1"/>
        <v>GARUDA</v>
      </c>
      <c r="E23" s="494" t="str">
        <f t="shared" si="2"/>
        <v>EKONOMI</v>
      </c>
      <c r="F23" s="495">
        <f t="shared" si="3"/>
        <v>1330000</v>
      </c>
      <c r="G23" s="664">
        <f t="shared" si="4"/>
        <v>0.02</v>
      </c>
      <c r="H23" s="493" t="str">
        <f t="shared" si="5"/>
        <v>TOPI</v>
      </c>
      <c r="I23" s="666">
        <f t="shared" si="6"/>
        <v>26600</v>
      </c>
      <c r="J23" s="668">
        <f t="shared" si="7"/>
        <v>1303400</v>
      </c>
    </row>
    <row r="24" spans="1:10" ht="14.25" thickTop="1" thickBot="1">
      <c r="A24" s="496" t="s">
        <v>1058</v>
      </c>
      <c r="B24" s="497" t="s">
        <v>1064</v>
      </c>
      <c r="C24" s="494" t="str">
        <f t="shared" si="0"/>
        <v>SURABAYA - PADANG</v>
      </c>
      <c r="D24" s="494" t="str">
        <f t="shared" si="1"/>
        <v>GARUDA</v>
      </c>
      <c r="E24" s="494" t="str">
        <f t="shared" si="2"/>
        <v>EKONOMI</v>
      </c>
      <c r="F24" s="495">
        <f t="shared" si="3"/>
        <v>1330000</v>
      </c>
      <c r="G24" s="664">
        <f t="shared" si="4"/>
        <v>0.02</v>
      </c>
      <c r="H24" s="493" t="str">
        <f t="shared" si="5"/>
        <v>TOPI</v>
      </c>
      <c r="I24" s="666">
        <f t="shared" si="6"/>
        <v>26600</v>
      </c>
      <c r="J24" s="668">
        <f t="shared" si="7"/>
        <v>1303400</v>
      </c>
    </row>
    <row r="25" spans="1:10" ht="14.25" thickTop="1" thickBot="1">
      <c r="A25" s="498" t="s">
        <v>1060</v>
      </c>
      <c r="B25" s="499" t="s">
        <v>1065</v>
      </c>
      <c r="C25" s="494" t="str">
        <f t="shared" si="0"/>
        <v>MEDAN - PADANG</v>
      </c>
      <c r="D25" s="494" t="str">
        <f t="shared" si="1"/>
        <v>BURAQ</v>
      </c>
      <c r="E25" s="494" t="str">
        <f t="shared" si="2"/>
        <v>EKONOMI</v>
      </c>
      <c r="F25" s="495">
        <f t="shared" si="3"/>
        <v>700000</v>
      </c>
      <c r="G25" s="664">
        <f t="shared" si="4"/>
        <v>0.05</v>
      </c>
      <c r="H25" s="493" t="str">
        <f t="shared" si="5"/>
        <v>TOPI</v>
      </c>
      <c r="I25" s="666">
        <f t="shared" si="6"/>
        <v>35000</v>
      </c>
      <c r="J25" s="668">
        <f t="shared" si="7"/>
        <v>665000</v>
      </c>
    </row>
    <row r="26" spans="1:10" ht="13.5" thickTop="1"/>
    <row r="28" spans="1:10">
      <c r="A28" s="57" t="s">
        <v>1123</v>
      </c>
    </row>
    <row r="29" spans="1:10">
      <c r="A29">
        <v>1</v>
      </c>
      <c r="B29" s="57" t="s">
        <v>1149</v>
      </c>
    </row>
    <row r="30" spans="1:10">
      <c r="A30">
        <v>2</v>
      </c>
      <c r="B30" s="57" t="s">
        <v>1149</v>
      </c>
    </row>
    <row r="31" spans="1:10">
      <c r="A31">
        <v>3</v>
      </c>
      <c r="B31" s="57" t="s">
        <v>1150</v>
      </c>
    </row>
    <row r="32" spans="1:10">
      <c r="A32">
        <v>4</v>
      </c>
      <c r="B32" s="57" t="s">
        <v>1151</v>
      </c>
    </row>
    <row r="33" spans="1:2">
      <c r="A33">
        <v>5</v>
      </c>
      <c r="B33" s="57" t="s">
        <v>1152</v>
      </c>
    </row>
    <row r="34" spans="1:2">
      <c r="A34">
        <v>6</v>
      </c>
      <c r="B34" s="57" t="s">
        <v>1153</v>
      </c>
    </row>
    <row r="35" spans="1:2">
      <c r="A35">
        <v>7</v>
      </c>
      <c r="B35" s="57" t="s">
        <v>1154</v>
      </c>
    </row>
    <row r="36" spans="1:2">
      <c r="A36">
        <v>8</v>
      </c>
      <c r="B36" s="57" t="s">
        <v>1155</v>
      </c>
    </row>
  </sheetData>
  <mergeCells count="6">
    <mergeCell ref="A16:N16"/>
    <mergeCell ref="A1:N1"/>
    <mergeCell ref="A2:N2"/>
    <mergeCell ref="A3:N3"/>
    <mergeCell ref="A4:N4"/>
    <mergeCell ref="A11:N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4"/>
  <sheetViews>
    <sheetView topLeftCell="A13" workbookViewId="0">
      <selection activeCell="B22" sqref="B22:D34"/>
    </sheetView>
  </sheetViews>
  <sheetFormatPr defaultRowHeight="12.75"/>
  <cols>
    <col min="1" max="1" width="5.7109375" customWidth="1"/>
    <col min="2" max="2" width="17.42578125" customWidth="1"/>
    <col min="3" max="3" width="15" bestFit="1" customWidth="1"/>
    <col min="4" max="4" width="16.140625" bestFit="1" customWidth="1"/>
    <col min="6" max="6" width="13.140625" customWidth="1"/>
    <col min="7" max="7" width="11.5703125" customWidth="1"/>
    <col min="8" max="8" width="10.7109375" customWidth="1"/>
    <col min="10" max="10" width="14.42578125" customWidth="1"/>
  </cols>
  <sheetData>
    <row r="1" spans="1:11" ht="18.75">
      <c r="A1" s="850" t="s">
        <v>1066</v>
      </c>
      <c r="B1" s="850"/>
      <c r="C1" s="850"/>
      <c r="D1" s="850"/>
      <c r="E1" s="850"/>
      <c r="F1" s="850"/>
      <c r="G1" s="850"/>
      <c r="H1" s="850"/>
      <c r="I1" s="850"/>
      <c r="J1" s="850"/>
      <c r="K1" s="850"/>
    </row>
    <row r="2" spans="1:11" ht="21">
      <c r="A2" s="851" t="s">
        <v>1067</v>
      </c>
      <c r="B2" s="851"/>
      <c r="C2" s="851"/>
      <c r="D2" s="851"/>
      <c r="E2" s="851"/>
      <c r="F2" s="851"/>
      <c r="G2" s="851"/>
      <c r="H2" s="851"/>
      <c r="I2" s="851"/>
      <c r="J2" s="851"/>
      <c r="K2" s="851"/>
    </row>
    <row r="3" spans="1:11" ht="15.75">
      <c r="A3" s="852" t="s">
        <v>1068</v>
      </c>
      <c r="B3" s="785"/>
      <c r="C3" s="785"/>
      <c r="D3" s="785"/>
      <c r="E3" s="785"/>
      <c r="F3" s="785"/>
      <c r="G3" s="785"/>
      <c r="H3" s="785"/>
      <c r="I3" s="785"/>
      <c r="J3" s="785"/>
      <c r="K3" s="785"/>
    </row>
    <row r="4" spans="1:11">
      <c r="A4" s="773"/>
      <c r="B4" s="773"/>
      <c r="C4" s="773"/>
      <c r="D4" s="773"/>
      <c r="E4" s="773"/>
      <c r="F4" s="773"/>
      <c r="G4" s="773"/>
      <c r="H4" s="773"/>
      <c r="I4" s="773"/>
      <c r="J4" s="773"/>
      <c r="K4" s="773"/>
    </row>
    <row r="5" spans="1:11" ht="30" customHeight="1">
      <c r="A5" s="500" t="s">
        <v>566</v>
      </c>
      <c r="B5" s="500" t="s">
        <v>567</v>
      </c>
      <c r="C5" s="500" t="s">
        <v>569</v>
      </c>
      <c r="D5" s="501" t="s">
        <v>1069</v>
      </c>
      <c r="E5" s="500" t="s">
        <v>693</v>
      </c>
      <c r="F5" s="501" t="s">
        <v>1070</v>
      </c>
      <c r="G5" s="501" t="s">
        <v>1071</v>
      </c>
      <c r="H5" s="500" t="s">
        <v>573</v>
      </c>
      <c r="I5" s="501" t="s">
        <v>574</v>
      </c>
      <c r="J5" s="501" t="s">
        <v>1072</v>
      </c>
    </row>
    <row r="6" spans="1:11">
      <c r="A6" s="414">
        <v>1</v>
      </c>
      <c r="B6" s="872" t="s">
        <v>1270</v>
      </c>
      <c r="C6" s="414" t="str">
        <f>VLOOKUP(MID(B6,5,2),BARANG,2,FALSE)</f>
        <v>AGENDA</v>
      </c>
      <c r="D6" s="502">
        <v>38626</v>
      </c>
      <c r="E6" s="359" t="str">
        <f>HLOOKUP(LEFT(B6,3),$F$22:$I$24,2,FALSE)</f>
        <v>BUKU</v>
      </c>
      <c r="F6" s="414">
        <v>12</v>
      </c>
      <c r="G6" s="359">
        <f>VLOOKUP(MID(B6,5,2),BARANG,3,FALSE)</f>
        <v>15000</v>
      </c>
      <c r="H6" s="505">
        <f>HLOOKUP(LEFT(B6,3),$F$22:$I$24,3,FALSE)</f>
        <v>0.1</v>
      </c>
      <c r="I6" s="359">
        <f>F6*G6</f>
        <v>180000</v>
      </c>
      <c r="J6" s="359">
        <f>I6*H6</f>
        <v>18000</v>
      </c>
    </row>
    <row r="7" spans="1:11">
      <c r="A7" s="414">
        <v>2</v>
      </c>
      <c r="B7" s="872" t="s">
        <v>1272</v>
      </c>
      <c r="C7" s="414" t="str">
        <f>VLOOKUP(MID(B7,5,2),BARANG,2,FALSE)</f>
        <v>QUARTO</v>
      </c>
      <c r="D7" s="502">
        <v>38627</v>
      </c>
      <c r="E7" s="359" t="str">
        <f t="shared" ref="E7:E20" si="0">HLOOKUP(LEFT(B7,3),$F$22:$I$24,2,FALSE)</f>
        <v>KERTAS</v>
      </c>
      <c r="F7" s="414">
        <v>23</v>
      </c>
      <c r="G7" s="359">
        <f>VLOOKUP(MID(B7,5,2),BARANG,3,FALSE)</f>
        <v>22500</v>
      </c>
      <c r="H7" s="505">
        <f t="shared" ref="H7:H20" si="1">HLOOKUP(LEFT(B7,3),$F$22:$I$24,3,FALSE)</f>
        <v>0.15</v>
      </c>
      <c r="I7" s="359">
        <f t="shared" ref="I7:I20" si="2">F7*G7</f>
        <v>517500</v>
      </c>
      <c r="J7" s="359">
        <f t="shared" ref="J7:J20" si="3">I7*H7</f>
        <v>77625</v>
      </c>
    </row>
    <row r="8" spans="1:11">
      <c r="A8" s="414">
        <v>3</v>
      </c>
      <c r="B8" s="872" t="s">
        <v>1273</v>
      </c>
      <c r="C8" s="414" t="str">
        <f>VLOOKUP(MID(B8,5,2),BARANG,2,FALSE)</f>
        <v>B.INGGRIS</v>
      </c>
      <c r="D8" s="502">
        <v>38628</v>
      </c>
      <c r="E8" s="359" t="str">
        <f t="shared" si="0"/>
        <v>BUKU</v>
      </c>
      <c r="F8" s="414">
        <v>34</v>
      </c>
      <c r="G8" s="359">
        <f>VLOOKUP(MID(B8,5,2),BARANG,3,FALSE)</f>
        <v>15000</v>
      </c>
      <c r="H8" s="505">
        <f t="shared" si="1"/>
        <v>0.1</v>
      </c>
      <c r="I8" s="359">
        <f t="shared" si="2"/>
        <v>510000</v>
      </c>
      <c r="J8" s="359">
        <f t="shared" si="3"/>
        <v>51000</v>
      </c>
    </row>
    <row r="9" spans="1:11">
      <c r="A9" s="414">
        <v>4</v>
      </c>
      <c r="B9" s="872" t="s">
        <v>1274</v>
      </c>
      <c r="C9" s="414" t="str">
        <f>VLOOKUP(MID(B9,5,2),BARANG,2,FALSE)</f>
        <v>BOXY</v>
      </c>
      <c r="D9" s="502">
        <v>38629</v>
      </c>
      <c r="E9" s="359" t="str">
        <f t="shared" si="0"/>
        <v>ALAT TULIS</v>
      </c>
      <c r="F9" s="414">
        <v>51</v>
      </c>
      <c r="G9" s="359">
        <f>VLOOKUP(MID(B9,5,2),BARANG,3,FALSE)</f>
        <v>7000</v>
      </c>
      <c r="H9" s="505">
        <f t="shared" si="1"/>
        <v>0.25</v>
      </c>
      <c r="I9" s="359">
        <f t="shared" si="2"/>
        <v>357000</v>
      </c>
      <c r="J9" s="359">
        <f t="shared" si="3"/>
        <v>89250</v>
      </c>
    </row>
    <row r="10" spans="1:11">
      <c r="A10" s="414">
        <v>5</v>
      </c>
      <c r="B10" s="872" t="s">
        <v>1275</v>
      </c>
      <c r="C10" s="414" t="str">
        <f>VLOOKUP(MID(B10,5,2),BARANG,2,FALSE)</f>
        <v>EKONOMI</v>
      </c>
      <c r="D10" s="502">
        <v>38630</v>
      </c>
      <c r="E10" s="359" t="str">
        <f t="shared" si="0"/>
        <v>BUKU</v>
      </c>
      <c r="F10" s="414">
        <v>26</v>
      </c>
      <c r="G10" s="359">
        <f>VLOOKUP(MID(B10,5,2),BARANG,3,FALSE)</f>
        <v>45000</v>
      </c>
      <c r="H10" s="505">
        <f t="shared" si="1"/>
        <v>0.1</v>
      </c>
      <c r="I10" s="359">
        <f t="shared" si="2"/>
        <v>1170000</v>
      </c>
      <c r="J10" s="359">
        <f t="shared" si="3"/>
        <v>117000</v>
      </c>
    </row>
    <row r="11" spans="1:11">
      <c r="A11" s="414">
        <v>6</v>
      </c>
      <c r="B11" s="872" t="s">
        <v>1276</v>
      </c>
      <c r="C11" s="414" t="str">
        <f>VLOOKUP(MID(B11,5,2),BARANG,2,FALSE)</f>
        <v>PILOT</v>
      </c>
      <c r="D11" s="502">
        <v>38631</v>
      </c>
      <c r="E11" s="359" t="str">
        <f t="shared" si="0"/>
        <v>ALAT TULIS</v>
      </c>
      <c r="F11" s="414">
        <v>19</v>
      </c>
      <c r="G11" s="359">
        <f>VLOOKUP(MID(B11,5,2),BARANG,3,FALSE)</f>
        <v>6000</v>
      </c>
      <c r="H11" s="505">
        <f t="shared" si="1"/>
        <v>0.25</v>
      </c>
      <c r="I11" s="359">
        <f t="shared" si="2"/>
        <v>114000</v>
      </c>
      <c r="J11" s="359">
        <f t="shared" si="3"/>
        <v>28500</v>
      </c>
    </row>
    <row r="12" spans="1:11">
      <c r="A12" s="414">
        <v>7</v>
      </c>
      <c r="B12" s="872" t="s">
        <v>1277</v>
      </c>
      <c r="C12" s="414" t="str">
        <f>VLOOKUP(MID(B12,5,2),BARANG,2,FALSE)</f>
        <v>FOLIO</v>
      </c>
      <c r="D12" s="502">
        <v>38632</v>
      </c>
      <c r="E12" s="359" t="str">
        <f t="shared" si="0"/>
        <v>KERTAS</v>
      </c>
      <c r="F12" s="414">
        <v>16</v>
      </c>
      <c r="G12" s="359">
        <f>VLOOKUP(MID(B12,5,2),BARANG,3,FALSE)</f>
        <v>27500</v>
      </c>
      <c r="H12" s="505">
        <f t="shared" si="1"/>
        <v>0.15</v>
      </c>
      <c r="I12" s="359">
        <f t="shared" si="2"/>
        <v>440000</v>
      </c>
      <c r="J12" s="359">
        <f t="shared" si="3"/>
        <v>66000</v>
      </c>
    </row>
    <row r="13" spans="1:11">
      <c r="A13" s="414">
        <v>8</v>
      </c>
      <c r="B13" s="872" t="s">
        <v>1278</v>
      </c>
      <c r="C13" s="414" t="str">
        <f>VLOOKUP(MID(B13,5,2),BARANG,2,FALSE)</f>
        <v>KOMPUTER</v>
      </c>
      <c r="D13" s="502">
        <v>38633</v>
      </c>
      <c r="E13" s="359" t="str">
        <f t="shared" si="0"/>
        <v>BUKU</v>
      </c>
      <c r="F13" s="414">
        <v>45</v>
      </c>
      <c r="G13" s="359">
        <f>VLOOKUP(MID(B13,5,2),BARANG,3,FALSE)</f>
        <v>25500</v>
      </c>
      <c r="H13" s="505">
        <f t="shared" si="1"/>
        <v>0.1</v>
      </c>
      <c r="I13" s="359">
        <f t="shared" si="2"/>
        <v>1147500</v>
      </c>
      <c r="J13" s="359">
        <f t="shared" si="3"/>
        <v>114750</v>
      </c>
    </row>
    <row r="14" spans="1:11">
      <c r="A14" s="414">
        <v>9</v>
      </c>
      <c r="B14" s="872" t="s">
        <v>1279</v>
      </c>
      <c r="C14" s="414" t="str">
        <f>VLOOKUP(MID(B14,5,2),BARANG,2,FALSE)</f>
        <v>B.JEPANG</v>
      </c>
      <c r="D14" s="502">
        <v>38634</v>
      </c>
      <c r="E14" s="359" t="str">
        <f t="shared" si="0"/>
        <v>BUKU</v>
      </c>
      <c r="F14" s="414">
        <v>13</v>
      </c>
      <c r="G14" s="359">
        <f>VLOOKUP(MID(B14,5,2),BARANG,3,FALSE)</f>
        <v>6500</v>
      </c>
      <c r="H14" s="505">
        <f t="shared" si="1"/>
        <v>0.1</v>
      </c>
      <c r="I14" s="359">
        <f t="shared" si="2"/>
        <v>84500</v>
      </c>
      <c r="J14" s="359">
        <f t="shared" si="3"/>
        <v>8450</v>
      </c>
    </row>
    <row r="15" spans="1:11">
      <c r="A15" s="414">
        <v>10</v>
      </c>
      <c r="B15" s="872" t="s">
        <v>1280</v>
      </c>
      <c r="C15" s="414" t="str">
        <f>VLOOKUP(MID(B15,5,2),BARANG,2,FALSE)</f>
        <v>BOXY</v>
      </c>
      <c r="D15" s="502">
        <v>38635</v>
      </c>
      <c r="E15" s="359" t="str">
        <f t="shared" si="0"/>
        <v>ALAT TULIS</v>
      </c>
      <c r="F15" s="414">
        <v>11</v>
      </c>
      <c r="G15" s="359">
        <f>VLOOKUP(MID(B15,5,2),BARANG,3,FALSE)</f>
        <v>7000</v>
      </c>
      <c r="H15" s="505">
        <f t="shared" si="1"/>
        <v>0.25</v>
      </c>
      <c r="I15" s="359">
        <f t="shared" si="2"/>
        <v>77000</v>
      </c>
      <c r="J15" s="359">
        <f t="shared" si="3"/>
        <v>19250</v>
      </c>
    </row>
    <row r="16" spans="1:11">
      <c r="A16" s="414">
        <v>11</v>
      </c>
      <c r="B16" s="872" t="s">
        <v>1281</v>
      </c>
      <c r="C16" s="414" t="str">
        <f>VLOOKUP(MID(B16,5,2),BARANG,2,FALSE)</f>
        <v>PILOT</v>
      </c>
      <c r="D16" s="502">
        <v>38636</v>
      </c>
      <c r="E16" s="359" t="str">
        <f t="shared" si="0"/>
        <v>ALAT TULIS</v>
      </c>
      <c r="F16" s="414">
        <v>10</v>
      </c>
      <c r="G16" s="359">
        <f>VLOOKUP(MID(B16,5,2),BARANG,3,FALSE)</f>
        <v>6000</v>
      </c>
      <c r="H16" s="505">
        <f t="shared" si="1"/>
        <v>0.25</v>
      </c>
      <c r="I16" s="359">
        <f t="shared" si="2"/>
        <v>60000</v>
      </c>
      <c r="J16" s="359">
        <f t="shared" si="3"/>
        <v>15000</v>
      </c>
    </row>
    <row r="17" spans="1:10">
      <c r="A17" s="414">
        <v>12</v>
      </c>
      <c r="B17" s="872" t="s">
        <v>1282</v>
      </c>
      <c r="C17" s="414" t="str">
        <f>VLOOKUP(MID(B17,5,2),BARANG,2,FALSE)</f>
        <v>BUKU</v>
      </c>
      <c r="D17" s="502">
        <v>38637</v>
      </c>
      <c r="E17" s="359" t="str">
        <f t="shared" si="0"/>
        <v>BUKU</v>
      </c>
      <c r="F17" s="414">
        <v>12</v>
      </c>
      <c r="G17" s="359">
        <f>VLOOKUP(MID(B17,5,2),BARANG,3,FALSE)</f>
        <v>45000</v>
      </c>
      <c r="H17" s="505">
        <f t="shared" si="1"/>
        <v>0.1</v>
      </c>
      <c r="I17" s="359">
        <f t="shared" si="2"/>
        <v>540000</v>
      </c>
      <c r="J17" s="359">
        <f t="shared" si="3"/>
        <v>54000</v>
      </c>
    </row>
    <row r="18" spans="1:10">
      <c r="A18" s="414">
        <v>13</v>
      </c>
      <c r="B18" s="872" t="s">
        <v>1283</v>
      </c>
      <c r="C18" s="414" t="str">
        <f>VLOOKUP(MID(B18,5,2),BARANG,2,FALSE)</f>
        <v>BUKU</v>
      </c>
      <c r="D18" s="502">
        <v>38638</v>
      </c>
      <c r="E18" s="359" t="str">
        <f t="shared" si="0"/>
        <v>BUKU</v>
      </c>
      <c r="F18" s="414">
        <v>15</v>
      </c>
      <c r="G18" s="359">
        <f>VLOOKUP(MID(B18,5,2),BARANG,3,FALSE)</f>
        <v>45000</v>
      </c>
      <c r="H18" s="505">
        <f t="shared" si="1"/>
        <v>0.1</v>
      </c>
      <c r="I18" s="359">
        <f t="shared" si="2"/>
        <v>675000</v>
      </c>
      <c r="J18" s="359">
        <f t="shared" si="3"/>
        <v>67500</v>
      </c>
    </row>
    <row r="19" spans="1:10">
      <c r="A19" s="414">
        <v>14</v>
      </c>
      <c r="B19" s="872" t="s">
        <v>1284</v>
      </c>
      <c r="C19" s="414" t="str">
        <f>VLOOKUP(MID(B19,5,2),BARANG,2,FALSE)</f>
        <v>EKONOMI</v>
      </c>
      <c r="D19" s="502">
        <v>38639</v>
      </c>
      <c r="E19" s="359" t="str">
        <f t="shared" si="0"/>
        <v>BUKU</v>
      </c>
      <c r="F19" s="414">
        <v>17</v>
      </c>
      <c r="G19" s="359">
        <f>VLOOKUP(MID(B19,5,2),BARANG,3,FALSE)</f>
        <v>45000</v>
      </c>
      <c r="H19" s="505">
        <f t="shared" si="1"/>
        <v>0.1</v>
      </c>
      <c r="I19" s="359">
        <f t="shared" si="2"/>
        <v>765000</v>
      </c>
      <c r="J19" s="359">
        <f t="shared" si="3"/>
        <v>76500</v>
      </c>
    </row>
    <row r="20" spans="1:10">
      <c r="A20" s="414">
        <v>15</v>
      </c>
      <c r="B20" s="872" t="s">
        <v>1285</v>
      </c>
      <c r="C20" s="414" t="str">
        <f>VLOOKUP(MID(B20,5,2),BARANG,2,FALSE)</f>
        <v>PILOT</v>
      </c>
      <c r="D20" s="502">
        <v>38640</v>
      </c>
      <c r="E20" s="359" t="str">
        <f t="shared" si="0"/>
        <v>ALAT TULIS</v>
      </c>
      <c r="F20" s="414">
        <v>20</v>
      </c>
      <c r="G20" s="359">
        <f>VLOOKUP(MID(B20,5,2),BARANG,3,FALSE)</f>
        <v>6000</v>
      </c>
      <c r="H20" s="505">
        <f t="shared" si="1"/>
        <v>0.25</v>
      </c>
      <c r="I20" s="359">
        <f t="shared" si="2"/>
        <v>120000</v>
      </c>
      <c r="J20" s="359">
        <f t="shared" si="3"/>
        <v>30000</v>
      </c>
    </row>
    <row r="22" spans="1:10">
      <c r="B22" s="873" t="s">
        <v>567</v>
      </c>
      <c r="C22" s="873" t="s">
        <v>569</v>
      </c>
      <c r="D22" s="873" t="s">
        <v>1071</v>
      </c>
      <c r="F22" s="503" t="s">
        <v>338</v>
      </c>
      <c r="G22" s="366" t="s">
        <v>1082</v>
      </c>
      <c r="H22" s="366" t="s">
        <v>1083</v>
      </c>
      <c r="I22" s="366" t="s">
        <v>1084</v>
      </c>
    </row>
    <row r="23" spans="1:10">
      <c r="B23" s="876" t="s">
        <v>1286</v>
      </c>
      <c r="C23" s="874" t="s">
        <v>1079</v>
      </c>
      <c r="D23" s="875">
        <v>25500</v>
      </c>
      <c r="F23" s="503" t="s">
        <v>693</v>
      </c>
      <c r="G23" s="366" t="s">
        <v>1085</v>
      </c>
      <c r="H23" s="366" t="s">
        <v>1081</v>
      </c>
      <c r="I23" s="366" t="s">
        <v>1086</v>
      </c>
    </row>
    <row r="24" spans="1:10">
      <c r="B24" s="876" t="s">
        <v>1287</v>
      </c>
      <c r="C24" s="874" t="s">
        <v>1074</v>
      </c>
      <c r="D24" s="875">
        <v>15000</v>
      </c>
      <c r="F24" s="503" t="s">
        <v>573</v>
      </c>
      <c r="G24" s="504">
        <v>0.25</v>
      </c>
      <c r="H24" s="504">
        <v>0.1</v>
      </c>
      <c r="I24" s="504">
        <v>0.15</v>
      </c>
    </row>
    <row r="25" spans="1:10">
      <c r="B25" s="876" t="s">
        <v>1287</v>
      </c>
      <c r="C25" s="874" t="s">
        <v>1087</v>
      </c>
      <c r="D25" s="875">
        <v>13000</v>
      </c>
    </row>
    <row r="26" spans="1:10">
      <c r="B26" s="876" t="s">
        <v>1288</v>
      </c>
      <c r="C26" s="874" t="s">
        <v>1080</v>
      </c>
      <c r="D26" s="875">
        <v>6500</v>
      </c>
      <c r="F26" s="57" t="s">
        <v>1156</v>
      </c>
    </row>
    <row r="27" spans="1:10">
      <c r="B27" s="876" t="s">
        <v>1289</v>
      </c>
      <c r="C27" s="874" t="s">
        <v>1076</v>
      </c>
      <c r="D27" s="875">
        <v>45000</v>
      </c>
      <c r="F27">
        <v>1</v>
      </c>
      <c r="G27" s="57" t="s">
        <v>1157</v>
      </c>
    </row>
    <row r="28" spans="1:10">
      <c r="B28" s="876" t="s">
        <v>1290</v>
      </c>
      <c r="C28" s="874" t="s">
        <v>1088</v>
      </c>
      <c r="D28" s="875">
        <v>6500</v>
      </c>
      <c r="F28">
        <v>2</v>
      </c>
      <c r="G28" s="57" t="s">
        <v>1158</v>
      </c>
    </row>
    <row r="29" spans="1:10">
      <c r="B29" s="876" t="s">
        <v>1291</v>
      </c>
      <c r="C29" s="874" t="s">
        <v>1075</v>
      </c>
      <c r="D29" s="875">
        <v>7000</v>
      </c>
      <c r="F29">
        <v>3</v>
      </c>
      <c r="G29" s="57" t="s">
        <v>1159</v>
      </c>
    </row>
    <row r="30" spans="1:10">
      <c r="B30" s="876" t="s">
        <v>1292</v>
      </c>
      <c r="C30" s="874" t="s">
        <v>1077</v>
      </c>
      <c r="D30" s="875">
        <v>6000</v>
      </c>
      <c r="F30">
        <v>4</v>
      </c>
      <c r="G30" s="57" t="s">
        <v>1160</v>
      </c>
    </row>
    <row r="31" spans="1:10">
      <c r="B31" s="876" t="s">
        <v>1293</v>
      </c>
      <c r="C31" s="874" t="s">
        <v>1073</v>
      </c>
      <c r="D31" s="875">
        <v>22500</v>
      </c>
    </row>
    <row r="32" spans="1:10">
      <c r="B32" s="876" t="s">
        <v>1271</v>
      </c>
      <c r="C32" s="874" t="s">
        <v>1089</v>
      </c>
      <c r="D32" s="875">
        <v>15000</v>
      </c>
    </row>
    <row r="33" spans="2:4">
      <c r="B33" s="876" t="s">
        <v>1196</v>
      </c>
      <c r="C33" s="874" t="s">
        <v>1078</v>
      </c>
      <c r="D33" s="875">
        <v>27500</v>
      </c>
    </row>
    <row r="34" spans="2:4">
      <c r="B34" s="876" t="s">
        <v>1294</v>
      </c>
      <c r="C34" s="874" t="s">
        <v>1081</v>
      </c>
      <c r="D34" s="875">
        <v>45000</v>
      </c>
    </row>
  </sheetData>
  <mergeCells count="4">
    <mergeCell ref="A1:K1"/>
    <mergeCell ref="A2:K2"/>
    <mergeCell ref="A3:K3"/>
    <mergeCell ref="A4:K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36"/>
  <sheetViews>
    <sheetView topLeftCell="C10" zoomScale="89" zoomScaleNormal="89" workbookViewId="0">
      <selection activeCell="J20" sqref="J20"/>
    </sheetView>
  </sheetViews>
  <sheetFormatPr defaultRowHeight="12.75"/>
  <cols>
    <col min="1" max="1" width="13.140625" customWidth="1"/>
    <col min="2" max="2" width="23.28515625" customWidth="1"/>
    <col min="3" max="3" width="16" customWidth="1"/>
    <col min="4" max="4" width="14.7109375" bestFit="1" customWidth="1"/>
    <col min="5" max="5" width="12.85546875" bestFit="1" customWidth="1"/>
    <col min="6" max="6" width="12.28515625" customWidth="1"/>
    <col min="7" max="7" width="10.85546875" customWidth="1"/>
    <col min="10" max="10" width="11.5703125" customWidth="1"/>
    <col min="11" max="11" width="15" customWidth="1"/>
    <col min="12" max="12" width="12.5703125" customWidth="1"/>
    <col min="13" max="13" width="11.5703125" customWidth="1"/>
  </cols>
  <sheetData>
    <row r="1" spans="1:13" ht="15">
      <c r="A1" s="445"/>
      <c r="B1" s="445"/>
      <c r="C1" s="445"/>
      <c r="D1" s="445"/>
      <c r="E1" s="446"/>
      <c r="F1" s="506" t="s">
        <v>1090</v>
      </c>
      <c r="G1" s="446"/>
      <c r="H1" s="446"/>
      <c r="I1" s="446"/>
      <c r="J1" s="446"/>
      <c r="K1" s="445"/>
      <c r="L1" s="445"/>
      <c r="M1" s="445"/>
    </row>
    <row r="2" spans="1:13" ht="15">
      <c r="A2" s="445"/>
      <c r="B2" s="445"/>
      <c r="C2" s="445"/>
      <c r="D2" s="445"/>
      <c r="E2" s="446"/>
      <c r="F2" s="506" t="s">
        <v>1091</v>
      </c>
      <c r="G2" s="446"/>
      <c r="H2" s="446"/>
      <c r="I2" s="446"/>
      <c r="J2" s="446"/>
      <c r="K2" s="445"/>
      <c r="L2" s="445"/>
      <c r="M2" s="445"/>
    </row>
    <row r="3" spans="1:13" ht="15.75" thickBot="1">
      <c r="A3" s="447" t="s">
        <v>373</v>
      </c>
      <c r="B3" s="447"/>
      <c r="C3" s="447"/>
      <c r="D3" s="447"/>
      <c r="E3" s="445"/>
      <c r="F3" s="445"/>
      <c r="G3" s="445"/>
      <c r="H3" s="445"/>
      <c r="I3" s="445"/>
      <c r="J3" s="445"/>
      <c r="K3" s="445"/>
      <c r="L3" s="445"/>
      <c r="M3" s="445"/>
    </row>
    <row r="4" spans="1:13" ht="15.75" thickBot="1">
      <c r="A4" s="507" t="s">
        <v>460</v>
      </c>
      <c r="B4" s="508" t="s">
        <v>23</v>
      </c>
      <c r="C4" s="508" t="s">
        <v>1092</v>
      </c>
      <c r="D4" s="509" t="s">
        <v>1093</v>
      </c>
      <c r="E4" s="445"/>
      <c r="F4" s="445"/>
      <c r="G4" s="445"/>
      <c r="H4" s="445"/>
      <c r="I4" s="445"/>
      <c r="J4" s="445"/>
      <c r="K4" s="445"/>
      <c r="L4" s="445"/>
      <c r="M4" s="445"/>
    </row>
    <row r="5" spans="1:13" ht="13.5" thickTop="1">
      <c r="A5" s="536" t="s">
        <v>1094</v>
      </c>
      <c r="B5" s="510" t="s">
        <v>1095</v>
      </c>
      <c r="C5" s="510">
        <v>5050</v>
      </c>
      <c r="D5" s="511">
        <v>366</v>
      </c>
      <c r="E5" s="445"/>
      <c r="F5" s="445"/>
      <c r="G5" s="445"/>
      <c r="H5" s="445"/>
      <c r="I5" s="445"/>
      <c r="J5" s="445"/>
      <c r="K5" s="445"/>
      <c r="L5" s="445"/>
      <c r="M5" s="445"/>
    </row>
    <row r="6" spans="1:13" ht="13.5" thickBot="1">
      <c r="A6" s="537" t="s">
        <v>1096</v>
      </c>
      <c r="B6" s="512" t="s">
        <v>1097</v>
      </c>
      <c r="C6" s="513">
        <v>3700</v>
      </c>
      <c r="D6" s="514">
        <v>350</v>
      </c>
      <c r="E6" s="445"/>
      <c r="F6" s="445" t="s">
        <v>1098</v>
      </c>
      <c r="G6" s="445"/>
      <c r="H6" s="445"/>
      <c r="I6" s="445"/>
      <c r="J6" s="445"/>
      <c r="K6" s="445"/>
      <c r="L6" s="445"/>
      <c r="M6" s="445"/>
    </row>
    <row r="7" spans="1:13" ht="13.5" thickBot="1">
      <c r="A7" s="538" t="s">
        <v>1099</v>
      </c>
      <c r="B7" s="513" t="s">
        <v>1100</v>
      </c>
      <c r="C7" s="513">
        <v>9750</v>
      </c>
      <c r="D7" s="514">
        <v>755</v>
      </c>
      <c r="E7" s="445"/>
      <c r="F7" s="520" t="s">
        <v>196</v>
      </c>
      <c r="G7" s="522" t="s">
        <v>1094</v>
      </c>
      <c r="H7" s="522" t="s">
        <v>1096</v>
      </c>
      <c r="I7" s="522" t="s">
        <v>1099</v>
      </c>
      <c r="J7" s="522" t="s">
        <v>1101</v>
      </c>
      <c r="K7" s="522" t="s">
        <v>1102</v>
      </c>
      <c r="L7" s="522" t="s">
        <v>1103</v>
      </c>
      <c r="M7" s="523" t="s">
        <v>1104</v>
      </c>
    </row>
    <row r="8" spans="1:13" ht="13.5" thickBot="1">
      <c r="A8" s="539" t="s">
        <v>1101</v>
      </c>
      <c r="B8" s="513" t="s">
        <v>1105</v>
      </c>
      <c r="C8" s="513">
        <v>3750</v>
      </c>
      <c r="D8" s="513">
        <v>890</v>
      </c>
      <c r="E8" s="445"/>
      <c r="F8" s="521" t="s">
        <v>1106</v>
      </c>
      <c r="G8" s="524" t="s">
        <v>1107</v>
      </c>
      <c r="H8" s="524" t="s">
        <v>1107</v>
      </c>
      <c r="I8" s="524" t="s">
        <v>1108</v>
      </c>
      <c r="J8" s="524" t="s">
        <v>1109</v>
      </c>
      <c r="K8" s="524" t="s">
        <v>1109</v>
      </c>
      <c r="L8" s="524" t="s">
        <v>1110</v>
      </c>
      <c r="M8" s="525" t="s">
        <v>1110</v>
      </c>
    </row>
    <row r="9" spans="1:13" ht="13.5" thickBot="1">
      <c r="A9" s="539" t="s">
        <v>1102</v>
      </c>
      <c r="B9" s="513" t="s">
        <v>1111</v>
      </c>
      <c r="C9" s="513">
        <v>5575</v>
      </c>
      <c r="D9" s="513">
        <v>1000</v>
      </c>
      <c r="E9" s="445"/>
      <c r="F9" s="520" t="s">
        <v>537</v>
      </c>
      <c r="G9" s="526">
        <v>0.05</v>
      </c>
      <c r="H9" s="526">
        <v>0.05</v>
      </c>
      <c r="I9" s="526">
        <v>0.08</v>
      </c>
      <c r="J9" s="526">
        <v>0.1</v>
      </c>
      <c r="K9" s="526">
        <v>0.1</v>
      </c>
      <c r="L9" s="526">
        <v>0.12</v>
      </c>
      <c r="M9" s="527">
        <v>0.12</v>
      </c>
    </row>
    <row r="10" spans="1:13">
      <c r="A10" s="540" t="s">
        <v>1103</v>
      </c>
      <c r="B10" s="513" t="s">
        <v>1112</v>
      </c>
      <c r="C10" s="513">
        <v>33000</v>
      </c>
      <c r="D10" s="514">
        <v>5500</v>
      </c>
      <c r="E10" s="445"/>
      <c r="F10" s="445"/>
      <c r="G10" s="445"/>
      <c r="H10" s="445"/>
      <c r="I10" s="445"/>
      <c r="J10" s="445"/>
      <c r="K10" s="445"/>
      <c r="L10" s="445"/>
      <c r="M10" s="445"/>
    </row>
    <row r="11" spans="1:13" ht="13.5" thickBot="1">
      <c r="A11" s="541" t="s">
        <v>1104</v>
      </c>
      <c r="B11" s="515" t="s">
        <v>1113</v>
      </c>
      <c r="C11" s="515">
        <v>31000</v>
      </c>
      <c r="D11" s="516">
        <v>7500</v>
      </c>
      <c r="E11" s="445"/>
      <c r="F11" s="445"/>
      <c r="G11" s="445"/>
      <c r="H11" s="445"/>
      <c r="I11" s="445"/>
      <c r="J11" s="445"/>
      <c r="K11" s="445"/>
      <c r="L11" s="445"/>
      <c r="M11" s="445"/>
    </row>
    <row r="13" spans="1:13" ht="15.75" thickBot="1">
      <c r="A13" s="86" t="s">
        <v>1114</v>
      </c>
      <c r="B13" s="86"/>
      <c r="C13" s="86"/>
      <c r="D13" s="448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30.75" customHeight="1" thickBot="1">
      <c r="A14" s="517" t="s">
        <v>460</v>
      </c>
      <c r="B14" s="517" t="s">
        <v>23</v>
      </c>
      <c r="C14" s="517" t="s">
        <v>149</v>
      </c>
      <c r="D14" s="517" t="s">
        <v>1115</v>
      </c>
      <c r="E14" s="517" t="s">
        <v>1116</v>
      </c>
      <c r="F14" s="517" t="s">
        <v>426</v>
      </c>
      <c r="G14" s="518" t="s">
        <v>1117</v>
      </c>
      <c r="H14" s="518" t="s">
        <v>1118</v>
      </c>
      <c r="I14" s="518" t="s">
        <v>537</v>
      </c>
      <c r="J14" s="518" t="s">
        <v>1119</v>
      </c>
      <c r="K14" s="518" t="s">
        <v>1120</v>
      </c>
      <c r="L14" s="518" t="s">
        <v>1121</v>
      </c>
      <c r="M14" s="519" t="s">
        <v>1122</v>
      </c>
    </row>
    <row r="15" spans="1:13" ht="16.5" thickTop="1" thickBot="1">
      <c r="A15" s="533" t="s">
        <v>1103</v>
      </c>
      <c r="B15" s="529" t="str">
        <f>VLOOKUP(A15,KODE_BARANG,2,0)</f>
        <v>Kopi Kapal Api</v>
      </c>
      <c r="C15" s="529" t="str">
        <f>HLOOKUP(A15,Kode,2,0)</f>
        <v>Kopi</v>
      </c>
      <c r="D15" s="530">
        <v>231</v>
      </c>
      <c r="E15" s="531">
        <v>38626</v>
      </c>
      <c r="F15" s="529">
        <f>VLOOKUP(A15,KODE_BARANG,3,0)</f>
        <v>33000</v>
      </c>
      <c r="G15" s="530">
        <v>250</v>
      </c>
      <c r="H15" s="529">
        <f>F15*G15</f>
        <v>8250000</v>
      </c>
      <c r="I15" s="542">
        <f>HLOOKUP(A15,Kode,3,0)</f>
        <v>0.12</v>
      </c>
      <c r="J15" s="529">
        <f>I15*H15</f>
        <v>990000</v>
      </c>
      <c r="K15" s="529" t="str">
        <f>IF(I15&lt;=5%,"DORAEMON",IF(I15&lt;=10%,"MUG CANTIK","JAM TANGAN"))</f>
        <v>JAM TANGAN</v>
      </c>
      <c r="L15" s="529">
        <f>H15-J15</f>
        <v>7260000</v>
      </c>
      <c r="M15" s="543">
        <f>J15*G15</f>
        <v>247500000</v>
      </c>
    </row>
    <row r="16" spans="1:13" ht="14.25" thickTop="1" thickBot="1">
      <c r="A16" s="534" t="s">
        <v>1099</v>
      </c>
      <c r="B16" s="529" t="str">
        <f>VLOOKUP(A16,KODE_BARANG,2,0)</f>
        <v>Gula Diet Tropi Kana Slim</v>
      </c>
      <c r="C16" s="529" t="str">
        <f>HLOOKUP(A16,Kode,2,0)</f>
        <v>Gula</v>
      </c>
      <c r="D16" s="528">
        <v>256</v>
      </c>
      <c r="E16" s="532">
        <v>38629</v>
      </c>
      <c r="F16" s="529">
        <f>VLOOKUP(A16,KODE_BARANG,3,0)</f>
        <v>9750</v>
      </c>
      <c r="G16" s="528">
        <v>270</v>
      </c>
      <c r="H16" s="529">
        <f t="shared" ref="H16:H25" si="0">F16*G16</f>
        <v>2632500</v>
      </c>
      <c r="I16" s="542">
        <f>HLOOKUP(A16,Kode,3,0)</f>
        <v>0.08</v>
      </c>
      <c r="J16" s="529">
        <f t="shared" ref="J16:J25" si="1">I16*H16</f>
        <v>210600</v>
      </c>
      <c r="K16" s="529" t="str">
        <f t="shared" ref="K16:K25" si="2">IF(I16&lt;=5%,"DORAEMON",IF(I16&lt;=10%,"MUG CANTIK","JAM TANGAN"))</f>
        <v>MUG CANTIK</v>
      </c>
      <c r="L16" s="529">
        <f t="shared" ref="L16:L25" si="3">H16-J16</f>
        <v>2421900</v>
      </c>
      <c r="M16" s="543">
        <f t="shared" ref="M16:M25" si="4">J16*G16</f>
        <v>56862000</v>
      </c>
    </row>
    <row r="17" spans="1:13" ht="14.25" thickTop="1" thickBot="1">
      <c r="A17" s="534" t="s">
        <v>1094</v>
      </c>
      <c r="B17" s="529" t="str">
        <f>VLOOKUP(A17,KODE_BARANG,2,0)</f>
        <v>Beras Setra Ramos</v>
      </c>
      <c r="C17" s="529" t="str">
        <f>HLOOKUP(A17,Kode,2,0)</f>
        <v>Beras</v>
      </c>
      <c r="D17" s="528">
        <v>3465</v>
      </c>
      <c r="E17" s="532">
        <v>38632</v>
      </c>
      <c r="F17" s="529">
        <f>VLOOKUP(A17,KODE_BARANG,3,0)</f>
        <v>5050</v>
      </c>
      <c r="G17" s="528">
        <v>1500</v>
      </c>
      <c r="H17" s="529">
        <f t="shared" si="0"/>
        <v>7575000</v>
      </c>
      <c r="I17" s="542">
        <f>HLOOKUP(A17,Kode,3,0)</f>
        <v>0.05</v>
      </c>
      <c r="J17" s="529">
        <f t="shared" si="1"/>
        <v>378750</v>
      </c>
      <c r="K17" s="529" t="str">
        <f t="shared" si="2"/>
        <v>DORAEMON</v>
      </c>
      <c r="L17" s="529">
        <f t="shared" si="3"/>
        <v>7196250</v>
      </c>
      <c r="M17" s="543">
        <f t="shared" si="4"/>
        <v>568125000</v>
      </c>
    </row>
    <row r="18" spans="1:13" ht="14.25" thickTop="1" thickBot="1">
      <c r="A18" s="534" t="s">
        <v>1099</v>
      </c>
      <c r="B18" s="529" t="str">
        <f>VLOOKUP(A18,KODE_BARANG,2,0)</f>
        <v>Gula Diet Tropi Kana Slim</v>
      </c>
      <c r="C18" s="529" t="str">
        <f>HLOOKUP(A18,Kode,2,0)</f>
        <v>Gula</v>
      </c>
      <c r="D18" s="528">
        <v>564</v>
      </c>
      <c r="E18" s="532">
        <v>38635</v>
      </c>
      <c r="F18" s="529">
        <f>VLOOKUP(A18,KODE_BARANG,3,0)</f>
        <v>9750</v>
      </c>
      <c r="G18" s="528">
        <v>1000</v>
      </c>
      <c r="H18" s="529">
        <f t="shared" si="0"/>
        <v>9750000</v>
      </c>
      <c r="I18" s="542">
        <f>HLOOKUP(A18,Kode,3,0)</f>
        <v>0.08</v>
      </c>
      <c r="J18" s="529">
        <f t="shared" si="1"/>
        <v>780000</v>
      </c>
      <c r="K18" s="529" t="str">
        <f t="shared" si="2"/>
        <v>MUG CANTIK</v>
      </c>
      <c r="L18" s="529">
        <f t="shared" si="3"/>
        <v>8970000</v>
      </c>
      <c r="M18" s="543">
        <f t="shared" si="4"/>
        <v>780000000</v>
      </c>
    </row>
    <row r="19" spans="1:13" ht="14.25" thickTop="1" thickBot="1">
      <c r="A19" s="534" t="s">
        <v>1096</v>
      </c>
      <c r="B19" s="529" t="str">
        <f>VLOOKUP(A19,KODE_BARANG,2,0)</f>
        <v>Beras Pandan Sari</v>
      </c>
      <c r="C19" s="529" t="str">
        <f>HLOOKUP(A19,Kode,2,0)</f>
        <v>Beras</v>
      </c>
      <c r="D19" s="528">
        <v>689</v>
      </c>
      <c r="E19" s="532">
        <v>38636</v>
      </c>
      <c r="F19" s="529">
        <f>VLOOKUP(A19,KODE_BARANG,3,0)</f>
        <v>3700</v>
      </c>
      <c r="G19" s="528">
        <v>1320</v>
      </c>
      <c r="H19" s="529">
        <f t="shared" si="0"/>
        <v>4884000</v>
      </c>
      <c r="I19" s="542">
        <f>HLOOKUP(A19,Kode,3,0)</f>
        <v>0.05</v>
      </c>
      <c r="J19" s="529">
        <f t="shared" si="1"/>
        <v>244200</v>
      </c>
      <c r="K19" s="529" t="str">
        <f t="shared" si="2"/>
        <v>DORAEMON</v>
      </c>
      <c r="L19" s="529">
        <f t="shared" si="3"/>
        <v>4639800</v>
      </c>
      <c r="M19" s="543">
        <f t="shared" si="4"/>
        <v>322344000</v>
      </c>
    </row>
    <row r="20" spans="1:13" ht="14.25" thickTop="1" thickBot="1">
      <c r="A20" s="535" t="s">
        <v>1103</v>
      </c>
      <c r="B20" s="529" t="str">
        <f>VLOOKUP(A20,KODE_BARANG,2,0)</f>
        <v>Kopi Kapal Api</v>
      </c>
      <c r="C20" s="529" t="str">
        <f>HLOOKUP(A20,Kode,2,0)</f>
        <v>Kopi</v>
      </c>
      <c r="D20" s="528">
        <v>657</v>
      </c>
      <c r="E20" s="532">
        <v>38638</v>
      </c>
      <c r="F20" s="529">
        <f>VLOOKUP(A20,KODE_BARANG,3,0)</f>
        <v>33000</v>
      </c>
      <c r="G20" s="528">
        <v>250</v>
      </c>
      <c r="H20" s="529">
        <f t="shared" si="0"/>
        <v>8250000</v>
      </c>
      <c r="I20" s="542">
        <f>HLOOKUP(A20,Kode,3,0)</f>
        <v>0.12</v>
      </c>
      <c r="J20" s="529">
        <f t="shared" si="1"/>
        <v>990000</v>
      </c>
      <c r="K20" s="529" t="str">
        <f t="shared" si="2"/>
        <v>JAM TANGAN</v>
      </c>
      <c r="L20" s="529">
        <f t="shared" si="3"/>
        <v>7260000</v>
      </c>
      <c r="M20" s="543">
        <f t="shared" si="4"/>
        <v>247500000</v>
      </c>
    </row>
    <row r="21" spans="1:13" ht="14.25" thickTop="1" thickBot="1">
      <c r="A21" s="534" t="s">
        <v>1102</v>
      </c>
      <c r="B21" s="529" t="str">
        <f>VLOOKUP(A21,KODE_BARANG,2,0)</f>
        <v>Terigu Segatiga Biru</v>
      </c>
      <c r="C21" s="529" t="str">
        <f>HLOOKUP(A21,Kode,2,0)</f>
        <v>Tepung</v>
      </c>
      <c r="D21" s="528">
        <v>569</v>
      </c>
      <c r="E21" s="532">
        <v>38640</v>
      </c>
      <c r="F21" s="529">
        <f>VLOOKUP(A21,KODE_BARANG,3,0)</f>
        <v>5575</v>
      </c>
      <c r="G21" s="528">
        <v>450</v>
      </c>
      <c r="H21" s="529">
        <f t="shared" si="0"/>
        <v>2508750</v>
      </c>
      <c r="I21" s="542">
        <f>HLOOKUP(A21,Kode,3,0)</f>
        <v>0.1</v>
      </c>
      <c r="J21" s="529">
        <f t="shared" si="1"/>
        <v>250875</v>
      </c>
      <c r="K21" s="529" t="str">
        <f t="shared" si="2"/>
        <v>MUG CANTIK</v>
      </c>
      <c r="L21" s="529">
        <f t="shared" si="3"/>
        <v>2257875</v>
      </c>
      <c r="M21" s="543">
        <f t="shared" si="4"/>
        <v>112893750</v>
      </c>
    </row>
    <row r="22" spans="1:13" ht="14.25" thickTop="1" thickBot="1">
      <c r="A22" s="534" t="s">
        <v>1101</v>
      </c>
      <c r="B22" s="529" t="str">
        <f>VLOOKUP(A22,KODE_BARANG,2,0)</f>
        <v>Sagu Tropi Kana</v>
      </c>
      <c r="C22" s="529" t="str">
        <f>HLOOKUP(A22,Kode,2,0)</f>
        <v>Tepung</v>
      </c>
      <c r="D22" s="528">
        <v>685</v>
      </c>
      <c r="E22" s="532">
        <v>38648</v>
      </c>
      <c r="F22" s="529">
        <f>VLOOKUP(A22,KODE_BARANG,3,0)</f>
        <v>3750</v>
      </c>
      <c r="G22" s="528">
        <v>500</v>
      </c>
      <c r="H22" s="529">
        <f t="shared" si="0"/>
        <v>1875000</v>
      </c>
      <c r="I22" s="542">
        <f>HLOOKUP(A22,Kode,3,0)</f>
        <v>0.1</v>
      </c>
      <c r="J22" s="529">
        <f t="shared" si="1"/>
        <v>187500</v>
      </c>
      <c r="K22" s="529" t="str">
        <f t="shared" si="2"/>
        <v>MUG CANTIK</v>
      </c>
      <c r="L22" s="529">
        <f t="shared" si="3"/>
        <v>1687500</v>
      </c>
      <c r="M22" s="543">
        <f t="shared" si="4"/>
        <v>93750000</v>
      </c>
    </row>
    <row r="23" spans="1:13" ht="14.25" thickTop="1" thickBot="1">
      <c r="A23" s="534" t="s">
        <v>1096</v>
      </c>
      <c r="B23" s="529" t="str">
        <f>VLOOKUP(A23,KODE_BARANG,2,0)</f>
        <v>Beras Pandan Sari</v>
      </c>
      <c r="C23" s="529" t="str">
        <f>HLOOKUP(A23,Kode,2,0)</f>
        <v>Beras</v>
      </c>
      <c r="D23" s="528">
        <v>123</v>
      </c>
      <c r="E23" s="532">
        <v>38650</v>
      </c>
      <c r="F23" s="529">
        <f>VLOOKUP(A23,KODE_BARANG,3,0)</f>
        <v>3700</v>
      </c>
      <c r="G23" s="528">
        <v>1400</v>
      </c>
      <c r="H23" s="529">
        <f t="shared" si="0"/>
        <v>5180000</v>
      </c>
      <c r="I23" s="542">
        <f>HLOOKUP(A23,Kode,3,0)</f>
        <v>0.05</v>
      </c>
      <c r="J23" s="529">
        <f t="shared" si="1"/>
        <v>259000</v>
      </c>
      <c r="K23" s="529" t="str">
        <f t="shared" si="2"/>
        <v>DORAEMON</v>
      </c>
      <c r="L23" s="529">
        <f t="shared" si="3"/>
        <v>4921000</v>
      </c>
      <c r="M23" s="543">
        <f t="shared" si="4"/>
        <v>362600000</v>
      </c>
    </row>
    <row r="24" spans="1:13" ht="14.25" thickTop="1" thickBot="1">
      <c r="A24" s="534" t="s">
        <v>1104</v>
      </c>
      <c r="B24" s="529" t="str">
        <f>VLOOKUP(A24,KODE_BARANG,2,0)</f>
        <v>Kopi Glatik</v>
      </c>
      <c r="C24" s="529" t="str">
        <f>HLOOKUP(A24,Kode,2,0)</f>
        <v>Kopi</v>
      </c>
      <c r="D24" s="528">
        <v>356</v>
      </c>
      <c r="E24" s="532">
        <v>38651</v>
      </c>
      <c r="F24" s="529">
        <f>VLOOKUP(A24,KODE_BARANG,3,0)</f>
        <v>31000</v>
      </c>
      <c r="G24" s="528">
        <v>150</v>
      </c>
      <c r="H24" s="529">
        <f t="shared" si="0"/>
        <v>4650000</v>
      </c>
      <c r="I24" s="542">
        <f>HLOOKUP(A24,Kode,3,0)</f>
        <v>0.12</v>
      </c>
      <c r="J24" s="529">
        <f t="shared" si="1"/>
        <v>558000</v>
      </c>
      <c r="K24" s="529" t="str">
        <f t="shared" si="2"/>
        <v>JAM TANGAN</v>
      </c>
      <c r="L24" s="529">
        <f t="shared" si="3"/>
        <v>4092000</v>
      </c>
      <c r="M24" s="543">
        <f t="shared" si="4"/>
        <v>83700000</v>
      </c>
    </row>
    <row r="25" spans="1:13" ht="14.25" thickTop="1" thickBot="1">
      <c r="A25" s="534" t="s">
        <v>1104</v>
      </c>
      <c r="B25" s="529" t="str">
        <f>VLOOKUP(A25,KODE_BARANG,2,0)</f>
        <v>Kopi Glatik</v>
      </c>
      <c r="C25" s="529" t="str">
        <f>HLOOKUP(A25,Kode,2,0)</f>
        <v>Kopi</v>
      </c>
      <c r="D25" s="528">
        <v>654</v>
      </c>
      <c r="E25" s="532">
        <v>38655</v>
      </c>
      <c r="F25" s="529">
        <f>VLOOKUP(A25,KODE_BARANG,3,0)</f>
        <v>31000</v>
      </c>
      <c r="G25" s="528">
        <v>175</v>
      </c>
      <c r="H25" s="529">
        <f t="shared" si="0"/>
        <v>5425000</v>
      </c>
      <c r="I25" s="542">
        <f>HLOOKUP(A25,Kode,3,0)</f>
        <v>0.12</v>
      </c>
      <c r="J25" s="529">
        <f t="shared" si="1"/>
        <v>651000</v>
      </c>
      <c r="K25" s="529" t="str">
        <f t="shared" si="2"/>
        <v>JAM TANGAN</v>
      </c>
      <c r="L25" s="529">
        <f t="shared" si="3"/>
        <v>4774000</v>
      </c>
      <c r="M25" s="543">
        <f t="shared" si="4"/>
        <v>113925000</v>
      </c>
    </row>
    <row r="27" spans="1:13" ht="30">
      <c r="A27" s="544" t="s">
        <v>1123</v>
      </c>
    </row>
    <row r="28" spans="1:13">
      <c r="A28">
        <v>1</v>
      </c>
      <c r="B28" s="57" t="s">
        <v>1161</v>
      </c>
    </row>
    <row r="29" spans="1:13">
      <c r="A29">
        <v>2</v>
      </c>
      <c r="B29" s="57" t="s">
        <v>1170</v>
      </c>
    </row>
    <row r="30" spans="1:13">
      <c r="A30">
        <v>3</v>
      </c>
      <c r="B30" s="57" t="s">
        <v>1169</v>
      </c>
    </row>
    <row r="31" spans="1:13">
      <c r="A31">
        <v>4</v>
      </c>
      <c r="B31" s="57" t="s">
        <v>1168</v>
      </c>
      <c r="C31" s="57" t="s">
        <v>1164</v>
      </c>
    </row>
    <row r="32" spans="1:13">
      <c r="C32" s="57" t="s">
        <v>1162</v>
      </c>
    </row>
    <row r="33" spans="1:3">
      <c r="C33" s="57" t="s">
        <v>1163</v>
      </c>
    </row>
    <row r="34" spans="1:3">
      <c r="A34">
        <v>5</v>
      </c>
      <c r="B34" s="57" t="s">
        <v>1167</v>
      </c>
    </row>
    <row r="35" spans="1:3">
      <c r="A35">
        <v>6</v>
      </c>
      <c r="B35" s="57" t="s">
        <v>1165</v>
      </c>
    </row>
    <row r="36" spans="1:3">
      <c r="A36">
        <v>7</v>
      </c>
      <c r="B36" s="57" t="s">
        <v>1166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27"/>
  <sheetViews>
    <sheetView tabSelected="1" topLeftCell="A2" zoomScale="80" zoomScaleNormal="80" workbookViewId="0">
      <selection activeCell="B6" sqref="B6"/>
    </sheetView>
  </sheetViews>
  <sheetFormatPr defaultRowHeight="12.75"/>
  <cols>
    <col min="2" max="2" width="14.7109375" bestFit="1" customWidth="1"/>
    <col min="3" max="3" width="14.85546875" bestFit="1" customWidth="1"/>
    <col min="4" max="4" width="11.28515625" customWidth="1"/>
    <col min="5" max="5" width="14.28515625" bestFit="1" customWidth="1"/>
    <col min="6" max="6" width="12.140625" bestFit="1" customWidth="1"/>
    <col min="7" max="7" width="16.7109375" customWidth="1"/>
    <col min="8" max="8" width="15.42578125" customWidth="1"/>
    <col min="9" max="9" width="14.42578125" customWidth="1"/>
    <col min="10" max="10" width="12.5703125" customWidth="1"/>
    <col min="11" max="11" width="17.7109375" customWidth="1"/>
  </cols>
  <sheetData>
    <row r="1" spans="1:11">
      <c r="A1" s="854" t="s">
        <v>1171</v>
      </c>
      <c r="B1" s="854"/>
      <c r="C1" s="854"/>
      <c r="D1" s="854"/>
      <c r="E1" s="854"/>
      <c r="F1" s="854"/>
      <c r="G1" s="854"/>
      <c r="H1" s="854"/>
      <c r="I1" s="854"/>
      <c r="J1" s="854"/>
      <c r="K1" s="854"/>
    </row>
    <row r="2" spans="1:11" ht="21" customHeight="1" thickBot="1">
      <c r="A2" s="854" t="s">
        <v>1172</v>
      </c>
      <c r="B2" s="854"/>
      <c r="C2" s="854"/>
      <c r="D2" s="854"/>
      <c r="E2" s="854"/>
      <c r="F2" s="854"/>
      <c r="G2" s="854"/>
      <c r="H2" s="854"/>
      <c r="I2" s="854"/>
      <c r="J2" s="854"/>
      <c r="K2" s="854"/>
    </row>
    <row r="3" spans="1:11" ht="15">
      <c r="A3" s="857" t="s">
        <v>1173</v>
      </c>
      <c r="B3" s="859" t="s">
        <v>1174</v>
      </c>
      <c r="C3" s="859" t="s">
        <v>1175</v>
      </c>
      <c r="D3" s="859" t="s">
        <v>776</v>
      </c>
      <c r="E3" s="859" t="s">
        <v>1176</v>
      </c>
      <c r="F3" s="859" t="s">
        <v>1177</v>
      </c>
      <c r="G3" s="861" t="s">
        <v>1178</v>
      </c>
      <c r="H3" s="562" t="s">
        <v>1179</v>
      </c>
      <c r="I3" s="863" t="s">
        <v>614</v>
      </c>
      <c r="J3" s="865" t="s">
        <v>1180</v>
      </c>
      <c r="K3" s="867" t="s">
        <v>1181</v>
      </c>
    </row>
    <row r="4" spans="1:11" ht="15">
      <c r="A4" s="858"/>
      <c r="B4" s="860"/>
      <c r="C4" s="860"/>
      <c r="D4" s="860"/>
      <c r="E4" s="860"/>
      <c r="F4" s="860"/>
      <c r="G4" s="862"/>
      <c r="H4" s="563" t="s">
        <v>197</v>
      </c>
      <c r="I4" s="864"/>
      <c r="J4" s="866"/>
      <c r="K4" s="868"/>
    </row>
    <row r="5" spans="1:11" ht="21" customHeight="1">
      <c r="A5" s="578" t="s">
        <v>1182</v>
      </c>
      <c r="B5" s="579" t="s">
        <v>1213</v>
      </c>
      <c r="C5" s="580" t="s">
        <v>1193</v>
      </c>
      <c r="D5" s="580">
        <v>3</v>
      </c>
      <c r="E5" s="581" t="s">
        <v>1214</v>
      </c>
      <c r="F5" s="580" t="s">
        <v>1215</v>
      </c>
      <c r="G5" s="581" t="s">
        <v>1216</v>
      </c>
      <c r="H5" s="582">
        <v>38865</v>
      </c>
      <c r="I5" s="583">
        <v>38870</v>
      </c>
      <c r="J5" s="584">
        <f>DAY(I5-H5)</f>
        <v>5</v>
      </c>
      <c r="K5" s="878">
        <v>1100000</v>
      </c>
    </row>
    <row r="6" spans="1:11" ht="15">
      <c r="A6" s="566" t="s">
        <v>1183</v>
      </c>
      <c r="B6" s="567" t="str">
        <f>VLOOKUP(LEFT(A6,2),tabel1,IF(MID(A6,3,1)="1",4,IF(MID(A6,3,1)="2",5,6)))</f>
        <v>SHINTA</v>
      </c>
      <c r="C6" s="568" t="str">
        <f>IF(LEFT(A6,2)="FL","Flamboyan",IF(LEFT(A6,2)="CM","Cempaka","Melati"))</f>
        <v>Flamboyan</v>
      </c>
      <c r="D6" s="568">
        <f>VLOOKUP(LEFT(A6,2),tabel1,2,FALSE)</f>
        <v>1</v>
      </c>
      <c r="E6" s="877">
        <f>VLOOKUP(LEFT(A6,2),tabel1,3,0)</f>
        <v>100000</v>
      </c>
      <c r="F6" s="570"/>
      <c r="G6" s="569" t="e">
        <f>VLOOKUP(LEFT(A6,2),tabel2,2,FALSE)</f>
        <v>#N/A</v>
      </c>
      <c r="H6" s="565">
        <v>38866</v>
      </c>
      <c r="I6" s="565">
        <v>38875</v>
      </c>
      <c r="J6" s="571">
        <f>I6-H6</f>
        <v>9</v>
      </c>
      <c r="K6" s="572"/>
    </row>
    <row r="7" spans="1:11" ht="15">
      <c r="A7" s="566" t="s">
        <v>1184</v>
      </c>
      <c r="B7" s="567" t="e">
        <f>VLOOKUP(LEFT(A7,2),tabel1,IF(MID(A7,3,1)="1",4,IF(MID(A7,3,1)="2",5,6)))</f>
        <v>#N/A</v>
      </c>
      <c r="C7" s="568" t="str">
        <f t="shared" ref="C7:C13" si="0">IF(LEFT(A7,2)="FL","Flamboyan",IF(LEFT(A7,2)="CM","Cempaka","Melati"))</f>
        <v>Cempaka</v>
      </c>
      <c r="D7" s="568">
        <f>VLOOKUP(LEFT(A7,2),tabel1,2,FALSE)</f>
        <v>2</v>
      </c>
      <c r="E7" s="877">
        <f>VLOOKUP(LEFT(A7,2),tabel1,3,0)</f>
        <v>150000</v>
      </c>
      <c r="F7" s="570"/>
      <c r="G7" s="569"/>
      <c r="H7" s="565">
        <v>38867</v>
      </c>
      <c r="I7" s="565">
        <v>38872</v>
      </c>
      <c r="J7" s="571">
        <f t="shared" ref="J7:J13" si="1">I7-H7</f>
        <v>5</v>
      </c>
      <c r="K7" s="572"/>
    </row>
    <row r="8" spans="1:11" ht="15">
      <c r="A8" s="566" t="s">
        <v>1185</v>
      </c>
      <c r="B8" s="567" t="str">
        <f>VLOOKUP(LEFT(A8,2),tabel1,IF(MID(A8,3,1)="1",4,IF(MID(A8,3,1)="2",5,6)))</f>
        <v>RINA</v>
      </c>
      <c r="C8" s="568" t="str">
        <f t="shared" si="0"/>
        <v>Flamboyan</v>
      </c>
      <c r="D8" s="568">
        <f>VLOOKUP(LEFT(A8,2),tabel1,2,FALSE)</f>
        <v>1</v>
      </c>
      <c r="E8" s="877">
        <f>VLOOKUP(LEFT(A8,2),tabel1,3,0)</f>
        <v>100000</v>
      </c>
      <c r="F8" s="570"/>
      <c r="G8" s="569"/>
      <c r="H8" s="565">
        <v>38868</v>
      </c>
      <c r="I8" s="565">
        <v>38877</v>
      </c>
      <c r="J8" s="571">
        <f t="shared" si="1"/>
        <v>9</v>
      </c>
      <c r="K8" s="572"/>
    </row>
    <row r="9" spans="1:11" ht="15">
      <c r="A9" s="566" t="s">
        <v>1186</v>
      </c>
      <c r="B9" s="567" t="str">
        <f>VLOOKUP(LEFT(A9,2),tabel1,IF(MID(A9,3,1)="1",4,IF(MID(A9,3,1)="2",5,6)))</f>
        <v>RAWA</v>
      </c>
      <c r="C9" s="568" t="str">
        <f t="shared" si="0"/>
        <v>Melati</v>
      </c>
      <c r="D9" s="568">
        <f>VLOOKUP(LEFT(A9,2),tabel1,2,FALSE)</f>
        <v>3</v>
      </c>
      <c r="E9" s="877">
        <f>VLOOKUP(LEFT(A9,2),tabel1,3,0)</f>
        <v>70000</v>
      </c>
      <c r="F9" s="570"/>
      <c r="G9" s="569"/>
      <c r="H9" s="565">
        <v>38869</v>
      </c>
      <c r="I9" s="565">
        <v>38874</v>
      </c>
      <c r="J9" s="571">
        <f t="shared" si="1"/>
        <v>5</v>
      </c>
      <c r="K9" s="572"/>
    </row>
    <row r="10" spans="1:11" ht="15">
      <c r="A10" s="566" t="s">
        <v>1187</v>
      </c>
      <c r="B10" s="567" t="e">
        <f>VLOOKUP(LEFT(A10,2),tabel1,IF(MID(A10,3,1)="1",4,IF(MID(A10,3,1)="2",5,6)))</f>
        <v>#N/A</v>
      </c>
      <c r="C10" s="568" t="str">
        <f t="shared" si="0"/>
        <v>Cempaka</v>
      </c>
      <c r="D10" s="568">
        <f>VLOOKUP(LEFT(A10,2),tabel1,2,FALSE)</f>
        <v>2</v>
      </c>
      <c r="E10" s="877">
        <f>VLOOKUP(LEFT(A10,2),tabel1,3,0)</f>
        <v>150000</v>
      </c>
      <c r="F10" s="570"/>
      <c r="G10" s="569"/>
      <c r="H10" s="565">
        <v>38870</v>
      </c>
      <c r="I10" s="565">
        <v>38878</v>
      </c>
      <c r="J10" s="571">
        <f t="shared" si="1"/>
        <v>8</v>
      </c>
      <c r="K10" s="572"/>
    </row>
    <row r="11" spans="1:11" ht="15">
      <c r="A11" s="566" t="s">
        <v>1188</v>
      </c>
      <c r="B11" s="567"/>
      <c r="C11" s="568" t="str">
        <f t="shared" si="0"/>
        <v>Cempaka</v>
      </c>
      <c r="D11" s="568">
        <f>VLOOKUP(LEFT(A11,2),tabel1,2,FALSE)</f>
        <v>2</v>
      </c>
      <c r="E11" s="877">
        <f>VLOOKUP(LEFT(A11,2),tabel1,3,0)</f>
        <v>150000</v>
      </c>
      <c r="F11" s="570"/>
      <c r="G11" s="569"/>
      <c r="H11" s="565">
        <v>38871</v>
      </c>
      <c r="I11" s="565">
        <v>38874</v>
      </c>
      <c r="J11" s="571">
        <f t="shared" si="1"/>
        <v>3</v>
      </c>
      <c r="K11" s="572"/>
    </row>
    <row r="12" spans="1:11" ht="15">
      <c r="A12" s="566" t="s">
        <v>1189</v>
      </c>
      <c r="B12" s="567" t="str">
        <f>VLOOKUP(LEFT(A12,2),tabel1,IF(MID(A12,3,1)="1",4,IF(MID(A12,3,1)="2",5,6)))</f>
        <v>RITA</v>
      </c>
      <c r="C12" s="568" t="str">
        <f t="shared" si="0"/>
        <v>Flamboyan</v>
      </c>
      <c r="D12" s="568">
        <f>VLOOKUP(LEFT(A12,2),tabel1,2,FALSE)</f>
        <v>1</v>
      </c>
      <c r="E12" s="877">
        <f>VLOOKUP(LEFT(A12,2),tabel1,3,0)</f>
        <v>100000</v>
      </c>
      <c r="F12" s="570"/>
      <c r="G12" s="569"/>
      <c r="H12" s="565">
        <v>38872</v>
      </c>
      <c r="I12" s="565">
        <v>38877</v>
      </c>
      <c r="J12" s="571">
        <f t="shared" si="1"/>
        <v>5</v>
      </c>
      <c r="K12" s="572"/>
    </row>
    <row r="13" spans="1:11" ht="15">
      <c r="A13" s="566" t="s">
        <v>1190</v>
      </c>
      <c r="B13" s="567" t="str">
        <f>VLOOKUP(LEFT(A13,2),tabel1,IF(MID(A13,3,1)="1",4,IF(MID(A13,3,1)="2",5,6)))</f>
        <v>BUDI</v>
      </c>
      <c r="C13" s="568" t="str">
        <f t="shared" si="0"/>
        <v>Melati</v>
      </c>
      <c r="D13" s="568">
        <f>VLOOKUP(LEFT(A13,2),tabel1,2,FALSE)</f>
        <v>3</v>
      </c>
      <c r="E13" s="877">
        <f>VLOOKUP(LEFT(A13,2),tabel1,3,0)</f>
        <v>70000</v>
      </c>
      <c r="F13" s="570"/>
      <c r="G13" s="569"/>
      <c r="H13" s="565">
        <v>38873</v>
      </c>
      <c r="I13" s="565">
        <v>38880</v>
      </c>
      <c r="J13" s="571">
        <f t="shared" si="1"/>
        <v>7</v>
      </c>
      <c r="K13" s="572"/>
    </row>
    <row r="14" spans="1:11" ht="15">
      <c r="A14" s="549"/>
      <c r="B14" s="549"/>
      <c r="C14" s="549"/>
      <c r="D14" s="549"/>
      <c r="E14" s="549"/>
      <c r="F14" s="545"/>
      <c r="G14" s="549"/>
      <c r="H14" s="549"/>
      <c r="I14" s="549"/>
      <c r="J14" s="549"/>
      <c r="K14" s="550"/>
    </row>
    <row r="15" spans="1:11" ht="33">
      <c r="A15" s="549"/>
      <c r="B15" s="549"/>
      <c r="C15" s="549"/>
      <c r="D15" s="549"/>
      <c r="E15" s="549"/>
      <c r="F15" s="549"/>
      <c r="G15" s="549"/>
      <c r="H15" s="564" t="s">
        <v>1191</v>
      </c>
      <c r="I15" s="564" t="s">
        <v>938</v>
      </c>
      <c r="J15" s="564" t="s">
        <v>1192</v>
      </c>
    </row>
    <row r="16" spans="1:11" ht="15.75" thickBot="1">
      <c r="A16" s="549" t="s">
        <v>373</v>
      </c>
      <c r="B16" s="549"/>
      <c r="C16" s="549"/>
      <c r="D16" s="549"/>
      <c r="E16" s="549"/>
      <c r="F16" s="549"/>
      <c r="G16" s="549"/>
      <c r="H16" s="548" t="s">
        <v>1193</v>
      </c>
      <c r="I16" s="548">
        <f ca="1">SUMIF($C$7:$C$15,H16,$K$7:$K$14)</f>
        <v>0</v>
      </c>
      <c r="J16" s="548">
        <f>COUNTIF($C$7:$C$15,H16)</f>
        <v>2</v>
      </c>
    </row>
    <row r="17" spans="1:11" ht="15">
      <c r="A17" s="551" t="s">
        <v>1194</v>
      </c>
      <c r="B17" s="552" t="s">
        <v>747</v>
      </c>
      <c r="C17" s="552" t="s">
        <v>1031</v>
      </c>
      <c r="D17" s="552">
        <v>1</v>
      </c>
      <c r="E17" s="552">
        <v>2</v>
      </c>
      <c r="F17" s="553">
        <v>3</v>
      </c>
      <c r="G17" s="549"/>
      <c r="H17" s="548" t="s">
        <v>1195</v>
      </c>
      <c r="I17" s="548">
        <f ca="1">SUMIF($C$7:$C$15,H17,$K$7:$K$14)</f>
        <v>0</v>
      </c>
      <c r="J17" s="548">
        <f>COUNTIF($C$7:$C$15,H17)</f>
        <v>3</v>
      </c>
    </row>
    <row r="18" spans="1:11" ht="15">
      <c r="A18" s="546" t="s">
        <v>1196</v>
      </c>
      <c r="B18" s="548">
        <v>1</v>
      </c>
      <c r="C18" s="548">
        <v>100000</v>
      </c>
      <c r="D18" s="548" t="s">
        <v>1197</v>
      </c>
      <c r="E18" s="548" t="s">
        <v>1198</v>
      </c>
      <c r="F18" s="554" t="s">
        <v>1199</v>
      </c>
      <c r="G18" s="549"/>
      <c r="H18" s="548" t="s">
        <v>1200</v>
      </c>
      <c r="I18" s="548">
        <f ca="1">SUMIF($C$7:$C$15,H18,$K$7:$K$14)</f>
        <v>0</v>
      </c>
      <c r="J18" s="548">
        <f>COUNTIF($C$7:$C$15,H18)</f>
        <v>2</v>
      </c>
    </row>
    <row r="19" spans="1:11" ht="15">
      <c r="A19" s="546" t="s">
        <v>1201</v>
      </c>
      <c r="B19" s="548">
        <v>3</v>
      </c>
      <c r="C19" s="548">
        <v>70000</v>
      </c>
      <c r="D19" s="548" t="s">
        <v>1202</v>
      </c>
      <c r="E19" s="548" t="s">
        <v>1203</v>
      </c>
      <c r="F19" s="554" t="s">
        <v>1204</v>
      </c>
      <c r="G19" s="549"/>
      <c r="H19" s="545"/>
      <c r="I19" s="545"/>
      <c r="J19" s="549"/>
      <c r="K19" s="550"/>
    </row>
    <row r="20" spans="1:11" ht="18.75" customHeight="1" thickBot="1">
      <c r="A20" s="547" t="s">
        <v>1205</v>
      </c>
      <c r="B20" s="555">
        <v>2</v>
      </c>
      <c r="C20" s="555">
        <v>150000</v>
      </c>
      <c r="D20" s="555" t="s">
        <v>1206</v>
      </c>
      <c r="E20" s="555" t="s">
        <v>1207</v>
      </c>
      <c r="F20" s="556" t="s">
        <v>1208</v>
      </c>
      <c r="G20" s="549"/>
      <c r="H20" s="576" t="s">
        <v>1217</v>
      </c>
      <c r="I20" s="577" t="s">
        <v>938</v>
      </c>
      <c r="J20" s="855" t="s">
        <v>1218</v>
      </c>
      <c r="K20" s="856"/>
    </row>
    <row r="21" spans="1:11" ht="24" customHeight="1" thickBot="1">
      <c r="A21" s="549"/>
      <c r="B21" s="545"/>
      <c r="C21" s="557"/>
      <c r="D21" s="549"/>
      <c r="E21" s="549"/>
      <c r="F21" s="549"/>
      <c r="G21" s="549"/>
      <c r="H21" s="573" t="s">
        <v>1210</v>
      </c>
      <c r="I21" s="548"/>
      <c r="J21" s="574"/>
      <c r="K21" s="575"/>
    </row>
    <row r="22" spans="1:11" ht="15">
      <c r="A22" s="549" t="s">
        <v>1098</v>
      </c>
      <c r="B22" s="558" t="s">
        <v>1173</v>
      </c>
      <c r="C22" s="552" t="str">
        <f>RIGHT(A6,1)</f>
        <v>1</v>
      </c>
      <c r="D22" s="552" t="str">
        <f>RIGHT(A5,1)</f>
        <v>2</v>
      </c>
      <c r="E22" s="553" t="str">
        <f>RIGHT(A13,1)</f>
        <v>3</v>
      </c>
      <c r="F22" s="549"/>
      <c r="G22" s="853"/>
      <c r="H22" s="573" t="s">
        <v>1211</v>
      </c>
      <c r="I22" s="548"/>
      <c r="J22" s="574"/>
      <c r="K22" s="575"/>
    </row>
    <row r="23" spans="1:11" ht="15">
      <c r="A23" s="549"/>
      <c r="B23" s="559" t="s">
        <v>1209</v>
      </c>
      <c r="C23" s="560" t="s">
        <v>1210</v>
      </c>
      <c r="D23" s="560" t="s">
        <v>1211</v>
      </c>
      <c r="E23" s="561" t="s">
        <v>1212</v>
      </c>
      <c r="F23" s="549"/>
      <c r="G23" s="853"/>
      <c r="H23" s="573" t="s">
        <v>1212</v>
      </c>
      <c r="I23" s="548"/>
      <c r="J23" s="574"/>
      <c r="K23" s="575"/>
    </row>
    <row r="24" spans="1:11" ht="15.75" thickBot="1">
      <c r="A24" s="549"/>
      <c r="B24" s="547" t="s">
        <v>1031</v>
      </c>
      <c r="C24" s="555">
        <v>75000</v>
      </c>
      <c r="D24" s="555">
        <v>150000</v>
      </c>
      <c r="E24" s="556">
        <v>175000</v>
      </c>
      <c r="F24" s="549"/>
      <c r="G24" s="549"/>
      <c r="H24" s="549"/>
      <c r="I24" s="549"/>
      <c r="J24" s="549"/>
      <c r="K24" s="550"/>
    </row>
    <row r="27" spans="1:11">
      <c r="A27" s="57" t="s">
        <v>1123</v>
      </c>
      <c r="B27" s="57" t="s">
        <v>1219</v>
      </c>
    </row>
  </sheetData>
  <mergeCells count="14">
    <mergeCell ref="G22:G23"/>
    <mergeCell ref="A1:K1"/>
    <mergeCell ref="A2:K2"/>
    <mergeCell ref="J20:K20"/>
    <mergeCell ref="A3:A4"/>
    <mergeCell ref="B3:B4"/>
    <mergeCell ref="C3:C4"/>
    <mergeCell ref="D3:D4"/>
    <mergeCell ref="E3:E4"/>
    <mergeCell ref="F3:F4"/>
    <mergeCell ref="G3:G4"/>
    <mergeCell ref="I3:I4"/>
    <mergeCell ref="J3:J4"/>
    <mergeCell ref="K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29"/>
  <sheetViews>
    <sheetView topLeftCell="A7" workbookViewId="0">
      <selection activeCell="H12" sqref="H12"/>
    </sheetView>
  </sheetViews>
  <sheetFormatPr defaultRowHeight="12.75"/>
  <cols>
    <col min="1" max="1" width="16.7109375" bestFit="1" customWidth="1"/>
    <col min="2" max="2" width="18" bestFit="1" customWidth="1"/>
    <col min="3" max="3" width="10.7109375" bestFit="1" customWidth="1"/>
    <col min="4" max="4" width="15.42578125" bestFit="1" customWidth="1"/>
    <col min="5" max="5" width="14.7109375" bestFit="1" customWidth="1"/>
    <col min="6" max="6" width="13.7109375" customWidth="1"/>
    <col min="7" max="7" width="14.85546875" bestFit="1" customWidth="1"/>
    <col min="8" max="8" width="15" bestFit="1" customWidth="1"/>
    <col min="9" max="9" width="14.85546875" bestFit="1" customWidth="1"/>
    <col min="10" max="10" width="14.140625" bestFit="1" customWidth="1"/>
    <col min="11" max="11" width="13.85546875" bestFit="1" customWidth="1"/>
    <col min="12" max="12" width="14.85546875" bestFit="1" customWidth="1"/>
  </cols>
  <sheetData>
    <row r="1" spans="1:12" ht="51.75" customHeight="1">
      <c r="A1" s="697"/>
      <c r="B1" s="697"/>
      <c r="C1" s="697"/>
      <c r="D1" s="697"/>
      <c r="E1" s="697"/>
      <c r="F1" s="697"/>
      <c r="G1" s="697"/>
      <c r="H1" s="697"/>
      <c r="I1" s="697"/>
      <c r="J1" s="697"/>
      <c r="K1" s="697"/>
      <c r="L1" s="697"/>
    </row>
    <row r="2" spans="1:12">
      <c r="A2" s="697" t="s">
        <v>1220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</row>
    <row r="3" spans="1:12">
      <c r="A3" s="697" t="s">
        <v>1221</v>
      </c>
      <c r="B3" s="697"/>
      <c r="C3" s="697"/>
      <c r="D3" s="697"/>
      <c r="E3" s="697"/>
      <c r="F3" s="697"/>
      <c r="G3" s="697"/>
      <c r="H3" s="697"/>
      <c r="I3" s="697"/>
      <c r="J3" s="697"/>
      <c r="K3" s="697"/>
      <c r="L3" s="697"/>
    </row>
    <row r="5" spans="1:12">
      <c r="A5" s="585" t="s">
        <v>1222</v>
      </c>
      <c r="B5" s="586" t="s">
        <v>1223</v>
      </c>
      <c r="C5" s="586" t="s">
        <v>377</v>
      </c>
      <c r="D5" s="586" t="s">
        <v>1224</v>
      </c>
      <c r="E5" s="586" t="s">
        <v>1225</v>
      </c>
      <c r="F5" s="586" t="s">
        <v>1226</v>
      </c>
      <c r="G5" s="586" t="s">
        <v>1227</v>
      </c>
      <c r="H5" s="586" t="s">
        <v>1228</v>
      </c>
      <c r="I5" s="586" t="s">
        <v>1229</v>
      </c>
    </row>
    <row r="6" spans="1:12">
      <c r="A6" s="585" t="s">
        <v>654</v>
      </c>
      <c r="B6" s="586">
        <v>450000</v>
      </c>
      <c r="C6" s="586">
        <v>425000</v>
      </c>
      <c r="D6" s="586">
        <v>400000</v>
      </c>
      <c r="E6" s="586">
        <v>350000</v>
      </c>
      <c r="F6" s="586">
        <v>300000</v>
      </c>
      <c r="G6" s="586">
        <v>275000</v>
      </c>
      <c r="H6" s="586">
        <v>250000</v>
      </c>
      <c r="I6" s="586">
        <v>225000</v>
      </c>
    </row>
    <row r="8" spans="1:12">
      <c r="A8" s="587" t="s">
        <v>1230</v>
      </c>
      <c r="B8" s="587" t="s">
        <v>653</v>
      </c>
      <c r="C8" s="587" t="s">
        <v>1231</v>
      </c>
      <c r="D8" s="587" t="s">
        <v>1232</v>
      </c>
      <c r="E8" s="587" t="s">
        <v>1233</v>
      </c>
    </row>
    <row r="9" spans="1:12">
      <c r="A9" s="586">
        <v>1</v>
      </c>
      <c r="B9" s="586" t="s">
        <v>1234</v>
      </c>
      <c r="C9" s="586">
        <v>100000</v>
      </c>
      <c r="D9" s="586">
        <v>50000</v>
      </c>
      <c r="E9" s="588">
        <v>0.17</v>
      </c>
      <c r="F9" s="589"/>
    </row>
    <row r="10" spans="1:12">
      <c r="A10" s="586">
        <v>2</v>
      </c>
      <c r="B10" s="586" t="s">
        <v>1235</v>
      </c>
      <c r="C10" s="586">
        <v>75000</v>
      </c>
      <c r="D10" s="586">
        <v>40000</v>
      </c>
      <c r="E10" s="588">
        <v>0.14000000000000001</v>
      </c>
      <c r="F10" s="589"/>
    </row>
    <row r="11" spans="1:12">
      <c r="A11" s="586">
        <v>3</v>
      </c>
      <c r="B11" s="586" t="s">
        <v>1236</v>
      </c>
      <c r="C11" s="586">
        <v>50000</v>
      </c>
      <c r="D11" s="586">
        <v>250000</v>
      </c>
      <c r="E11" s="588">
        <v>0.11</v>
      </c>
      <c r="F11" s="589"/>
    </row>
    <row r="12" spans="1:12">
      <c r="A12" s="586">
        <v>4</v>
      </c>
      <c r="B12" s="586" t="s">
        <v>1237</v>
      </c>
      <c r="C12" s="586">
        <v>350000</v>
      </c>
      <c r="D12" s="586">
        <v>15000</v>
      </c>
      <c r="E12" s="588">
        <v>0.08</v>
      </c>
      <c r="F12" s="589"/>
    </row>
    <row r="15" spans="1:12" ht="13.5" thickBot="1">
      <c r="A15" s="14" t="s">
        <v>605</v>
      </c>
      <c r="B15" s="14"/>
      <c r="C15" s="590">
        <f ca="1">NOW()</f>
        <v>44336.602316203702</v>
      </c>
    </row>
    <row r="16" spans="1:12" s="6" customFormat="1">
      <c r="A16" s="591" t="s">
        <v>566</v>
      </c>
      <c r="B16" s="592" t="s">
        <v>1238</v>
      </c>
      <c r="C16" s="592" t="s">
        <v>651</v>
      </c>
      <c r="D16" s="592" t="s">
        <v>1239</v>
      </c>
      <c r="E16" s="592" t="s">
        <v>1240</v>
      </c>
      <c r="F16" s="592" t="s">
        <v>653</v>
      </c>
      <c r="G16" s="592" t="s">
        <v>654</v>
      </c>
      <c r="H16" s="592" t="s">
        <v>1241</v>
      </c>
      <c r="I16" s="592" t="s">
        <v>1232</v>
      </c>
      <c r="J16" s="592" t="s">
        <v>1242</v>
      </c>
      <c r="K16" s="592" t="s">
        <v>1010</v>
      </c>
      <c r="L16" s="593" t="s">
        <v>1001</v>
      </c>
    </row>
    <row r="17" spans="1:12">
      <c r="A17" s="594">
        <v>1</v>
      </c>
      <c r="B17" s="595" t="s">
        <v>1243</v>
      </c>
      <c r="C17" s="595" t="s">
        <v>1223</v>
      </c>
      <c r="D17" s="586">
        <v>1</v>
      </c>
      <c r="E17" s="596">
        <v>35442</v>
      </c>
      <c r="F17" s="595" t="str">
        <f>VLOOKUP(D17,$A$8:$E$12,2,0)</f>
        <v>KA BAGIAN</v>
      </c>
      <c r="G17" s="597">
        <f>HLOOKUP(C17,$A$5:$I$6,2,0)</f>
        <v>450000</v>
      </c>
      <c r="H17" s="597"/>
      <c r="I17" s="597"/>
      <c r="J17" s="597"/>
      <c r="K17" s="597"/>
      <c r="L17" s="598"/>
    </row>
    <row r="18" spans="1:12">
      <c r="A18" s="594">
        <v>2</v>
      </c>
      <c r="B18" s="595" t="s">
        <v>1244</v>
      </c>
      <c r="C18" s="595" t="s">
        <v>1224</v>
      </c>
      <c r="D18" s="586">
        <v>2</v>
      </c>
      <c r="E18" s="596">
        <v>28500</v>
      </c>
      <c r="F18" s="595" t="str">
        <f t="shared" ref="F18:F29" si="0">VLOOKUP(D18,$A$8:$E$12,2,0)</f>
        <v>KA BRIO</v>
      </c>
      <c r="G18" s="597"/>
      <c r="H18" s="597"/>
      <c r="I18" s="597"/>
      <c r="J18" s="597"/>
      <c r="K18" s="597"/>
      <c r="L18" s="598"/>
    </row>
    <row r="19" spans="1:12">
      <c r="A19" s="594">
        <v>3</v>
      </c>
      <c r="B19" s="595" t="s">
        <v>1245</v>
      </c>
      <c r="C19" s="595" t="s">
        <v>377</v>
      </c>
      <c r="D19" s="586">
        <v>2</v>
      </c>
      <c r="E19" s="596">
        <v>31168</v>
      </c>
      <c r="F19" s="595" t="str">
        <f t="shared" si="0"/>
        <v>KA BRIO</v>
      </c>
      <c r="G19" s="597"/>
      <c r="H19" s="597"/>
      <c r="I19" s="597"/>
      <c r="J19" s="597"/>
      <c r="K19" s="597"/>
      <c r="L19" s="598"/>
    </row>
    <row r="20" spans="1:12">
      <c r="A20" s="594">
        <v>4</v>
      </c>
      <c r="B20" s="595" t="s">
        <v>1246</v>
      </c>
      <c r="C20" s="595" t="s">
        <v>1225</v>
      </c>
      <c r="D20" s="586">
        <v>1</v>
      </c>
      <c r="E20" s="596">
        <v>32241</v>
      </c>
      <c r="F20" s="595" t="str">
        <f t="shared" si="0"/>
        <v>KA BAGIAN</v>
      </c>
      <c r="G20" s="597"/>
      <c r="H20" s="597"/>
      <c r="I20" s="597"/>
      <c r="J20" s="597"/>
      <c r="K20" s="597"/>
      <c r="L20" s="598"/>
    </row>
    <row r="21" spans="1:12">
      <c r="A21" s="594">
        <v>5</v>
      </c>
      <c r="B21" s="595" t="s">
        <v>1247</v>
      </c>
      <c r="C21" s="595" t="s">
        <v>377</v>
      </c>
      <c r="D21" s="586">
        <v>1</v>
      </c>
      <c r="E21" s="596">
        <v>33048</v>
      </c>
      <c r="F21" s="595" t="str">
        <f t="shared" si="0"/>
        <v>KA BAGIAN</v>
      </c>
      <c r="G21" s="597"/>
      <c r="H21" s="597"/>
      <c r="I21" s="597"/>
      <c r="J21" s="597"/>
      <c r="K21" s="597"/>
      <c r="L21" s="598"/>
    </row>
    <row r="22" spans="1:12">
      <c r="A22" s="594">
        <v>6</v>
      </c>
      <c r="B22" s="595" t="s">
        <v>1248</v>
      </c>
      <c r="C22" s="595" t="s">
        <v>377</v>
      </c>
      <c r="D22" s="586">
        <v>3</v>
      </c>
      <c r="E22" s="596">
        <v>27576</v>
      </c>
      <c r="F22" s="595" t="str">
        <f t="shared" si="0"/>
        <v>KLEREK</v>
      </c>
      <c r="G22" s="597"/>
      <c r="H22" s="597"/>
      <c r="I22" s="597"/>
      <c r="J22" s="597"/>
      <c r="K22" s="597"/>
      <c r="L22" s="598"/>
    </row>
    <row r="23" spans="1:12">
      <c r="A23" s="594">
        <v>7</v>
      </c>
      <c r="B23" s="595" t="s">
        <v>1249</v>
      </c>
      <c r="C23" s="595" t="s">
        <v>1223</v>
      </c>
      <c r="D23" s="586">
        <v>3</v>
      </c>
      <c r="E23" s="596">
        <v>29037</v>
      </c>
      <c r="F23" s="595" t="str">
        <f t="shared" si="0"/>
        <v>KLEREK</v>
      </c>
      <c r="G23" s="597"/>
      <c r="H23" s="597"/>
      <c r="I23" s="597"/>
      <c r="J23" s="597"/>
      <c r="K23" s="597"/>
      <c r="L23" s="598"/>
    </row>
    <row r="24" spans="1:12">
      <c r="A24" s="594">
        <v>8</v>
      </c>
      <c r="B24" s="595" t="s">
        <v>1250</v>
      </c>
      <c r="C24" s="595" t="s">
        <v>1226</v>
      </c>
      <c r="D24" s="586">
        <v>4</v>
      </c>
      <c r="E24" s="596">
        <v>33531</v>
      </c>
      <c r="F24" s="595" t="str">
        <f t="shared" si="0"/>
        <v>OPAS</v>
      </c>
      <c r="G24" s="597"/>
      <c r="H24" s="597"/>
      <c r="I24" s="597"/>
      <c r="J24" s="597"/>
      <c r="K24" s="597"/>
      <c r="L24" s="598"/>
    </row>
    <row r="25" spans="1:12">
      <c r="A25" s="594">
        <v>9</v>
      </c>
      <c r="B25" s="595" t="s">
        <v>1251</v>
      </c>
      <c r="C25" s="595" t="s">
        <v>1229</v>
      </c>
      <c r="D25" s="586">
        <v>1</v>
      </c>
      <c r="E25" s="596">
        <v>34403</v>
      </c>
      <c r="F25" s="595" t="str">
        <f t="shared" si="0"/>
        <v>KA BAGIAN</v>
      </c>
      <c r="G25" s="597"/>
      <c r="H25" s="597"/>
      <c r="I25" s="597"/>
      <c r="J25" s="597"/>
      <c r="K25" s="597"/>
      <c r="L25" s="598"/>
    </row>
    <row r="26" spans="1:12">
      <c r="A26" s="594">
        <v>10</v>
      </c>
      <c r="B26" s="595" t="s">
        <v>1252</v>
      </c>
      <c r="C26" s="595" t="s">
        <v>1228</v>
      </c>
      <c r="D26" s="586">
        <v>2</v>
      </c>
      <c r="E26" s="596">
        <v>33065</v>
      </c>
      <c r="F26" s="595" t="str">
        <f t="shared" si="0"/>
        <v>KA BRIO</v>
      </c>
      <c r="G26" s="597"/>
      <c r="H26" s="597"/>
      <c r="I26" s="597"/>
      <c r="J26" s="597"/>
      <c r="K26" s="597"/>
      <c r="L26" s="598"/>
    </row>
    <row r="27" spans="1:12">
      <c r="A27" s="594">
        <v>11</v>
      </c>
      <c r="B27" s="595" t="s">
        <v>1253</v>
      </c>
      <c r="C27" s="595" t="s">
        <v>1227</v>
      </c>
      <c r="D27" s="586">
        <v>3</v>
      </c>
      <c r="E27" s="596">
        <v>29574</v>
      </c>
      <c r="F27" s="595" t="str">
        <f t="shared" si="0"/>
        <v>KLEREK</v>
      </c>
      <c r="G27" s="597"/>
      <c r="H27" s="597"/>
      <c r="I27" s="597"/>
      <c r="J27" s="597"/>
      <c r="K27" s="597"/>
      <c r="L27" s="598"/>
    </row>
    <row r="28" spans="1:12">
      <c r="A28" s="594">
        <v>12</v>
      </c>
      <c r="B28" s="595" t="s">
        <v>1254</v>
      </c>
      <c r="C28" s="595" t="s">
        <v>1225</v>
      </c>
      <c r="D28" s="586">
        <v>3</v>
      </c>
      <c r="E28" s="596">
        <v>35056</v>
      </c>
      <c r="F28" s="595" t="str">
        <f t="shared" si="0"/>
        <v>KLEREK</v>
      </c>
      <c r="G28" s="597"/>
      <c r="H28" s="597"/>
      <c r="I28" s="597"/>
      <c r="J28" s="597"/>
      <c r="K28" s="597"/>
      <c r="L28" s="598"/>
    </row>
    <row r="29" spans="1:12" ht="13.5" thickBot="1">
      <c r="A29" s="599">
        <v>13</v>
      </c>
      <c r="B29" s="600" t="s">
        <v>1255</v>
      </c>
      <c r="C29" s="600" t="s">
        <v>1223</v>
      </c>
      <c r="D29" s="601">
        <v>4</v>
      </c>
      <c r="E29" s="602">
        <v>28963</v>
      </c>
      <c r="F29" s="595" t="str">
        <f t="shared" si="0"/>
        <v>OPAS</v>
      </c>
      <c r="G29" s="603"/>
      <c r="H29" s="603"/>
      <c r="I29" s="603"/>
      <c r="J29" s="603"/>
      <c r="K29" s="603"/>
      <c r="L29" s="604"/>
    </row>
  </sheetData>
  <mergeCells count="3">
    <mergeCell ref="A1:L1"/>
    <mergeCell ref="A2:L2"/>
    <mergeCell ref="A3:L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19"/>
  <sheetViews>
    <sheetView topLeftCell="A16" workbookViewId="0">
      <selection activeCell="J21" sqref="J21"/>
    </sheetView>
  </sheetViews>
  <sheetFormatPr defaultRowHeight="12.75"/>
  <cols>
    <col min="1" max="1" width="20.42578125" customWidth="1"/>
    <col min="2" max="2" width="26.85546875" bestFit="1" customWidth="1"/>
  </cols>
  <sheetData>
    <row r="1" spans="1:2">
      <c r="A1" s="14" t="s">
        <v>1256</v>
      </c>
    </row>
    <row r="3" spans="1:2" ht="15">
      <c r="A3" s="869" t="s">
        <v>1257</v>
      </c>
      <c r="B3" s="869"/>
    </row>
    <row r="4" spans="1:2" ht="15">
      <c r="A4" s="869" t="s">
        <v>1258</v>
      </c>
      <c r="B4" s="869"/>
    </row>
    <row r="5" spans="1:2">
      <c r="A5" s="605"/>
      <c r="B5" s="605"/>
    </row>
    <row r="6" spans="1:2">
      <c r="A6" s="606" t="s">
        <v>1259</v>
      </c>
      <c r="B6" s="607" t="s">
        <v>1260</v>
      </c>
    </row>
    <row r="7" spans="1:2">
      <c r="A7" s="608">
        <v>1998</v>
      </c>
      <c r="B7" s="609">
        <v>49.5</v>
      </c>
    </row>
    <row r="8" spans="1:2">
      <c r="A8" s="608">
        <v>1999</v>
      </c>
      <c r="B8" s="609">
        <v>47.97</v>
      </c>
    </row>
    <row r="9" spans="1:2">
      <c r="A9" s="608">
        <v>2000</v>
      </c>
      <c r="B9" s="609">
        <v>38.700000000000003</v>
      </c>
    </row>
    <row r="10" spans="1:2">
      <c r="A10" s="608">
        <v>2001</v>
      </c>
      <c r="B10" s="609">
        <v>37.9</v>
      </c>
    </row>
    <row r="11" spans="1:2">
      <c r="A11" s="608">
        <v>2002</v>
      </c>
      <c r="B11" s="609">
        <v>38.4</v>
      </c>
    </row>
    <row r="12" spans="1:2">
      <c r="A12" s="608">
        <v>2003</v>
      </c>
      <c r="B12" s="609">
        <v>37.299999999999997</v>
      </c>
    </row>
    <row r="13" spans="1:2">
      <c r="A13" s="608">
        <v>2004</v>
      </c>
      <c r="B13" s="609">
        <v>36.1</v>
      </c>
    </row>
    <row r="14" spans="1:2">
      <c r="A14" s="610">
        <v>2005</v>
      </c>
      <c r="B14" s="611">
        <v>35.1</v>
      </c>
    </row>
    <row r="15" spans="1:2">
      <c r="A15" s="605"/>
      <c r="B15" s="605"/>
    </row>
    <row r="16" spans="1:2">
      <c r="A16" s="612" t="s">
        <v>1261</v>
      </c>
      <c r="B16" s="605"/>
    </row>
    <row r="18" spans="1:1">
      <c r="A18" t="s">
        <v>1262</v>
      </c>
    </row>
    <row r="19" spans="1:1">
      <c r="A19" t="s">
        <v>1263</v>
      </c>
    </row>
  </sheetData>
  <mergeCells count="2">
    <mergeCell ref="A3:B3"/>
    <mergeCell ref="A4:B4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topLeftCell="A15" workbookViewId="0">
      <selection activeCell="F10" sqref="F10"/>
    </sheetView>
  </sheetViews>
  <sheetFormatPr defaultRowHeight="12.75"/>
  <cols>
    <col min="1" max="1" width="5.42578125" customWidth="1"/>
    <col min="2" max="2" width="5" customWidth="1"/>
    <col min="3" max="3" width="14.5703125" customWidth="1"/>
    <col min="4" max="4" width="8.85546875" customWidth="1"/>
    <col min="6" max="6" width="10" bestFit="1" customWidth="1"/>
    <col min="7" max="7" width="11.5703125" customWidth="1"/>
    <col min="8" max="8" width="12" customWidth="1"/>
  </cols>
  <sheetData>
    <row r="1" spans="1:8" ht="17.25">
      <c r="A1" s="22" t="s">
        <v>121</v>
      </c>
    </row>
    <row r="3" spans="1:8" ht="20.25">
      <c r="B3" s="711" t="s">
        <v>122</v>
      </c>
      <c r="C3" s="711"/>
      <c r="D3" s="711"/>
      <c r="E3" s="711"/>
      <c r="F3" s="711"/>
      <c r="G3" s="711"/>
      <c r="H3" s="711"/>
    </row>
    <row r="4" spans="1:8" ht="18">
      <c r="B4" s="710" t="s">
        <v>123</v>
      </c>
      <c r="C4" s="710"/>
      <c r="D4" s="710"/>
      <c r="E4" s="710"/>
      <c r="F4" s="710"/>
      <c r="G4" s="710"/>
      <c r="H4" s="710"/>
    </row>
    <row r="6" spans="1:8">
      <c r="F6" t="s">
        <v>143</v>
      </c>
      <c r="H6" s="151">
        <v>12500</v>
      </c>
    </row>
    <row r="7" spans="1:8" ht="13.5" thickBot="1">
      <c r="F7" t="s">
        <v>142</v>
      </c>
      <c r="H7" s="152">
        <v>10000</v>
      </c>
    </row>
    <row r="8" spans="1:8" ht="25.5">
      <c r="B8" s="155" t="s">
        <v>2</v>
      </c>
      <c r="C8" s="156" t="s">
        <v>68</v>
      </c>
      <c r="D8" s="156" t="s">
        <v>136</v>
      </c>
      <c r="E8" s="156" t="s">
        <v>140</v>
      </c>
      <c r="F8" s="156" t="s">
        <v>137</v>
      </c>
      <c r="G8" s="156" t="s">
        <v>138</v>
      </c>
      <c r="H8" s="157" t="s">
        <v>139</v>
      </c>
    </row>
    <row r="9" spans="1:8">
      <c r="B9" s="162">
        <v>1</v>
      </c>
      <c r="C9" s="16" t="s">
        <v>124</v>
      </c>
      <c r="D9" s="164">
        <v>5</v>
      </c>
      <c r="E9" s="30">
        <v>4</v>
      </c>
      <c r="F9" s="687">
        <f>D9*12500</f>
        <v>62500</v>
      </c>
      <c r="G9" s="644">
        <f>D9*10000</f>
        <v>50000</v>
      </c>
      <c r="H9" s="688">
        <f>F9+G9</f>
        <v>112500</v>
      </c>
    </row>
    <row r="10" spans="1:8">
      <c r="B10" s="162">
        <v>2</v>
      </c>
      <c r="C10" s="16" t="s">
        <v>125</v>
      </c>
      <c r="D10" s="164">
        <v>2</v>
      </c>
      <c r="E10" s="30">
        <v>2</v>
      </c>
      <c r="F10" s="687">
        <f t="shared" ref="F10:F20" si="0">D10*12500</f>
        <v>25000</v>
      </c>
      <c r="G10" s="644">
        <f t="shared" ref="G10:G20" si="1">D10*10000</f>
        <v>20000</v>
      </c>
      <c r="H10" s="688">
        <f t="shared" ref="H10:H20" si="2">F10+G10</f>
        <v>45000</v>
      </c>
    </row>
    <row r="11" spans="1:8">
      <c r="B11" s="162">
        <v>3</v>
      </c>
      <c r="C11" s="16" t="s">
        <v>126</v>
      </c>
      <c r="D11" s="164">
        <v>4</v>
      </c>
      <c r="E11" s="30">
        <v>2</v>
      </c>
      <c r="F11" s="687">
        <f t="shared" si="0"/>
        <v>50000</v>
      </c>
      <c r="G11" s="644">
        <f t="shared" si="1"/>
        <v>40000</v>
      </c>
      <c r="H11" s="688">
        <f t="shared" si="2"/>
        <v>90000</v>
      </c>
    </row>
    <row r="12" spans="1:8">
      <c r="B12" s="162">
        <v>4</v>
      </c>
      <c r="C12" s="16" t="s">
        <v>127</v>
      </c>
      <c r="D12" s="164">
        <v>6</v>
      </c>
      <c r="E12" s="30">
        <v>0</v>
      </c>
      <c r="F12" s="687">
        <f t="shared" si="0"/>
        <v>75000</v>
      </c>
      <c r="G12" s="644">
        <f t="shared" si="1"/>
        <v>60000</v>
      </c>
      <c r="H12" s="688">
        <f t="shared" si="2"/>
        <v>135000</v>
      </c>
    </row>
    <row r="13" spans="1:8">
      <c r="B13" s="162">
        <v>5</v>
      </c>
      <c r="C13" s="16" t="s">
        <v>128</v>
      </c>
      <c r="D13" s="164">
        <v>5</v>
      </c>
      <c r="E13" s="30">
        <v>0</v>
      </c>
      <c r="F13" s="687">
        <f t="shared" si="0"/>
        <v>62500</v>
      </c>
      <c r="G13" s="644">
        <f t="shared" si="1"/>
        <v>50000</v>
      </c>
      <c r="H13" s="688">
        <f t="shared" si="2"/>
        <v>112500</v>
      </c>
    </row>
    <row r="14" spans="1:8">
      <c r="B14" s="162">
        <v>6</v>
      </c>
      <c r="C14" s="16" t="s">
        <v>129</v>
      </c>
      <c r="D14" s="164">
        <v>4</v>
      </c>
      <c r="E14" s="30">
        <v>1</v>
      </c>
      <c r="F14" s="687">
        <f t="shared" si="0"/>
        <v>50000</v>
      </c>
      <c r="G14" s="644">
        <f t="shared" si="1"/>
        <v>40000</v>
      </c>
      <c r="H14" s="688">
        <f t="shared" si="2"/>
        <v>90000</v>
      </c>
    </row>
    <row r="15" spans="1:8">
      <c r="B15" s="162">
        <v>7</v>
      </c>
      <c r="C15" s="16" t="s">
        <v>130</v>
      </c>
      <c r="D15" s="164">
        <v>5</v>
      </c>
      <c r="E15" s="30">
        <v>4</v>
      </c>
      <c r="F15" s="687">
        <f t="shared" si="0"/>
        <v>62500</v>
      </c>
      <c r="G15" s="644">
        <f t="shared" si="1"/>
        <v>50000</v>
      </c>
      <c r="H15" s="688">
        <f t="shared" si="2"/>
        <v>112500</v>
      </c>
    </row>
    <row r="16" spans="1:8">
      <c r="B16" s="162">
        <v>8</v>
      </c>
      <c r="C16" s="16" t="s">
        <v>131</v>
      </c>
      <c r="D16" s="164">
        <v>6</v>
      </c>
      <c r="E16" s="30">
        <v>2</v>
      </c>
      <c r="F16" s="687">
        <f t="shared" si="0"/>
        <v>75000</v>
      </c>
      <c r="G16" s="644">
        <f t="shared" si="1"/>
        <v>60000</v>
      </c>
      <c r="H16" s="688">
        <f t="shared" si="2"/>
        <v>135000</v>
      </c>
    </row>
    <row r="17" spans="1:8">
      <c r="B17" s="162">
        <v>9</v>
      </c>
      <c r="C17" s="16" t="s">
        <v>132</v>
      </c>
      <c r="D17" s="164">
        <v>5</v>
      </c>
      <c r="E17" s="30">
        <v>1</v>
      </c>
      <c r="F17" s="687">
        <f t="shared" si="0"/>
        <v>62500</v>
      </c>
      <c r="G17" s="644">
        <f t="shared" si="1"/>
        <v>50000</v>
      </c>
      <c r="H17" s="688">
        <f t="shared" si="2"/>
        <v>112500</v>
      </c>
    </row>
    <row r="18" spans="1:8">
      <c r="B18" s="162">
        <v>10</v>
      </c>
      <c r="C18" s="16" t="s">
        <v>133</v>
      </c>
      <c r="D18" s="164">
        <v>3</v>
      </c>
      <c r="E18" s="30">
        <v>5</v>
      </c>
      <c r="F18" s="687">
        <f t="shared" si="0"/>
        <v>37500</v>
      </c>
      <c r="G18" s="644">
        <f t="shared" si="1"/>
        <v>30000</v>
      </c>
      <c r="H18" s="688">
        <f t="shared" si="2"/>
        <v>67500</v>
      </c>
    </row>
    <row r="19" spans="1:8">
      <c r="B19" s="162">
        <v>11</v>
      </c>
      <c r="C19" s="16" t="s">
        <v>134</v>
      </c>
      <c r="D19" s="164">
        <v>4</v>
      </c>
      <c r="E19" s="30">
        <v>2</v>
      </c>
      <c r="F19" s="687">
        <f t="shared" si="0"/>
        <v>50000</v>
      </c>
      <c r="G19" s="644">
        <f t="shared" si="1"/>
        <v>40000</v>
      </c>
      <c r="H19" s="688">
        <f t="shared" si="2"/>
        <v>90000</v>
      </c>
    </row>
    <row r="20" spans="1:8" ht="13.5" thickBot="1">
      <c r="B20" s="163">
        <v>12</v>
      </c>
      <c r="C20" s="20" t="s">
        <v>135</v>
      </c>
      <c r="D20" s="165">
        <v>5</v>
      </c>
      <c r="E20" s="31">
        <v>5</v>
      </c>
      <c r="F20" s="687">
        <f t="shared" si="0"/>
        <v>62500</v>
      </c>
      <c r="G20" s="644">
        <f t="shared" si="1"/>
        <v>50000</v>
      </c>
      <c r="H20" s="688">
        <f t="shared" si="2"/>
        <v>112500</v>
      </c>
    </row>
    <row r="21" spans="1:8" ht="14.25" thickTop="1" thickBot="1">
      <c r="B21" s="158" t="s">
        <v>141</v>
      </c>
      <c r="C21" s="159"/>
      <c r="D21" s="160"/>
      <c r="E21" s="161"/>
      <c r="F21" s="689"/>
      <c r="G21" s="689"/>
      <c r="H21" s="690">
        <f>SUM(H9:H20)</f>
        <v>1215000</v>
      </c>
    </row>
    <row r="23" spans="1:8">
      <c r="A23" t="s">
        <v>24</v>
      </c>
    </row>
    <row r="24" spans="1:8">
      <c r="A24" t="s">
        <v>190</v>
      </c>
    </row>
    <row r="25" spans="1:8">
      <c r="A25" t="s">
        <v>191</v>
      </c>
    </row>
    <row r="26" spans="1:8">
      <c r="A26" t="s">
        <v>192</v>
      </c>
    </row>
  </sheetData>
  <mergeCells count="2">
    <mergeCell ref="B4:H4"/>
    <mergeCell ref="B3:H3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CIBINONG&amp;C021-87906767&amp;RLATIHAN EXCEL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27"/>
  <sheetViews>
    <sheetView topLeftCell="A14" zoomScale="90" zoomScaleNormal="90" workbookViewId="0">
      <selection activeCell="H10" sqref="H10"/>
    </sheetView>
  </sheetViews>
  <sheetFormatPr defaultRowHeight="12.75"/>
  <cols>
    <col min="1" max="1" width="5.140625" customWidth="1"/>
    <col min="2" max="2" width="12.42578125" customWidth="1"/>
    <col min="3" max="3" width="10" customWidth="1"/>
    <col min="4" max="4" width="11" customWidth="1"/>
    <col min="5" max="5" width="12.7109375" customWidth="1"/>
    <col min="6" max="6" width="11.85546875" customWidth="1"/>
    <col min="7" max="7" width="10.7109375" customWidth="1"/>
    <col min="8" max="8" width="16" bestFit="1" customWidth="1"/>
  </cols>
  <sheetData>
    <row r="1" spans="1:8" ht="17.25">
      <c r="A1" s="22" t="s">
        <v>144</v>
      </c>
    </row>
    <row r="3" spans="1:8" ht="19.5">
      <c r="A3" s="718" t="s">
        <v>145</v>
      </c>
      <c r="B3" s="718"/>
      <c r="C3" s="718"/>
      <c r="D3" s="718"/>
      <c r="E3" s="718"/>
      <c r="F3" s="718"/>
      <c r="G3" s="718"/>
      <c r="H3" s="718"/>
    </row>
    <row r="4" spans="1:8" ht="25.5">
      <c r="A4" s="719" t="s">
        <v>146</v>
      </c>
      <c r="B4" s="719"/>
      <c r="C4" s="719"/>
      <c r="D4" s="719"/>
      <c r="E4" s="719"/>
      <c r="F4" s="719"/>
      <c r="G4" s="719"/>
      <c r="H4" s="719"/>
    </row>
    <row r="5" spans="1:8">
      <c r="A5" s="720" t="s">
        <v>147</v>
      </c>
      <c r="B5" s="720"/>
      <c r="C5" s="720"/>
      <c r="D5" s="720"/>
      <c r="E5" s="720"/>
      <c r="F5" s="720"/>
      <c r="G5" s="720"/>
      <c r="H5" s="720"/>
    </row>
    <row r="7" spans="1:8" ht="13.5" thickBot="1">
      <c r="A7" t="s">
        <v>148</v>
      </c>
      <c r="C7" s="25">
        <v>8500</v>
      </c>
    </row>
    <row r="8" spans="1:8">
      <c r="A8" s="721" t="s">
        <v>2</v>
      </c>
      <c r="B8" s="723" t="s">
        <v>149</v>
      </c>
      <c r="C8" s="716" t="s">
        <v>150</v>
      </c>
      <c r="D8" s="717"/>
      <c r="E8" s="712" t="s">
        <v>153</v>
      </c>
      <c r="F8" s="712" t="s">
        <v>154</v>
      </c>
      <c r="G8" s="712" t="s">
        <v>155</v>
      </c>
      <c r="H8" s="714" t="s">
        <v>156</v>
      </c>
    </row>
    <row r="9" spans="1:8">
      <c r="A9" s="722"/>
      <c r="B9" s="713"/>
      <c r="C9" s="166" t="s">
        <v>151</v>
      </c>
      <c r="D9" s="166" t="s">
        <v>152</v>
      </c>
      <c r="E9" s="713"/>
      <c r="F9" s="713"/>
      <c r="G9" s="713"/>
      <c r="H9" s="715"/>
    </row>
    <row r="10" spans="1:8">
      <c r="A10" s="15">
        <v>1</v>
      </c>
      <c r="B10" s="32" t="s">
        <v>157</v>
      </c>
      <c r="C10" s="30">
        <v>520</v>
      </c>
      <c r="D10" s="691">
        <f>C10*8500</f>
        <v>4420000</v>
      </c>
      <c r="E10" s="692">
        <f>SUM(D10+(D10*20%))</f>
        <v>5304000</v>
      </c>
      <c r="F10" s="691">
        <f>SUM(E10+(E10*5%))</f>
        <v>5569200</v>
      </c>
      <c r="G10" s="692">
        <f>SUM(10*(E10+F10))</f>
        <v>108732000</v>
      </c>
      <c r="H10" s="691">
        <f>E10+F10+G10</f>
        <v>119605200</v>
      </c>
    </row>
    <row r="11" spans="1:8">
      <c r="A11" s="15">
        <v>2</v>
      </c>
      <c r="B11" s="32" t="s">
        <v>158</v>
      </c>
      <c r="C11" s="30">
        <v>180</v>
      </c>
      <c r="D11" s="691">
        <f t="shared" ref="D11:D19" si="0">C11*8500</f>
        <v>1530000</v>
      </c>
      <c r="E11" s="692">
        <f t="shared" ref="E11:E19" si="1">SUM(D11+(D11*20%))</f>
        <v>1836000</v>
      </c>
      <c r="F11" s="691">
        <f t="shared" ref="F11:F19" si="2">SUM(E11+(E11*5%))</f>
        <v>1927800</v>
      </c>
      <c r="G11" s="692">
        <f t="shared" ref="G11:G19" si="3">SUM(10*(E11+F11))</f>
        <v>37638000</v>
      </c>
      <c r="H11" s="691">
        <f t="shared" ref="H11:H19" si="4">E11+F11+G11</f>
        <v>41401800</v>
      </c>
    </row>
    <row r="12" spans="1:8">
      <c r="A12" s="15">
        <v>3</v>
      </c>
      <c r="B12" s="32" t="s">
        <v>159</v>
      </c>
      <c r="C12" s="30">
        <v>200</v>
      </c>
      <c r="D12" s="691">
        <f t="shared" si="0"/>
        <v>1700000</v>
      </c>
      <c r="E12" s="692">
        <f t="shared" si="1"/>
        <v>2040000</v>
      </c>
      <c r="F12" s="691">
        <f t="shared" si="2"/>
        <v>2142000</v>
      </c>
      <c r="G12" s="692">
        <f t="shared" si="3"/>
        <v>41820000</v>
      </c>
      <c r="H12" s="691">
        <f t="shared" si="4"/>
        <v>46002000</v>
      </c>
    </row>
    <row r="13" spans="1:8">
      <c r="A13" s="15">
        <v>4</v>
      </c>
      <c r="B13" s="32" t="s">
        <v>160</v>
      </c>
      <c r="C13" s="30">
        <v>105</v>
      </c>
      <c r="D13" s="691">
        <f t="shared" si="0"/>
        <v>892500</v>
      </c>
      <c r="E13" s="692">
        <f t="shared" si="1"/>
        <v>1071000</v>
      </c>
      <c r="F13" s="691">
        <f t="shared" si="2"/>
        <v>1124550</v>
      </c>
      <c r="G13" s="692">
        <f t="shared" si="3"/>
        <v>21955500</v>
      </c>
      <c r="H13" s="691">
        <f t="shared" si="4"/>
        <v>24151050</v>
      </c>
    </row>
    <row r="14" spans="1:8">
      <c r="A14" s="15">
        <v>5</v>
      </c>
      <c r="B14" s="32" t="s">
        <v>161</v>
      </c>
      <c r="C14" s="30">
        <v>110</v>
      </c>
      <c r="D14" s="691">
        <f t="shared" si="0"/>
        <v>935000</v>
      </c>
      <c r="E14" s="692">
        <f t="shared" si="1"/>
        <v>1122000</v>
      </c>
      <c r="F14" s="691">
        <f t="shared" si="2"/>
        <v>1178100</v>
      </c>
      <c r="G14" s="692">
        <f t="shared" si="3"/>
        <v>23001000</v>
      </c>
      <c r="H14" s="691">
        <f t="shared" si="4"/>
        <v>25301100</v>
      </c>
    </row>
    <row r="15" spans="1:8">
      <c r="A15" s="15">
        <v>6</v>
      </c>
      <c r="B15" s="32" t="s">
        <v>162</v>
      </c>
      <c r="C15" s="30">
        <v>150</v>
      </c>
      <c r="D15" s="691">
        <f t="shared" si="0"/>
        <v>1275000</v>
      </c>
      <c r="E15" s="692">
        <f t="shared" si="1"/>
        <v>1530000</v>
      </c>
      <c r="F15" s="691">
        <f t="shared" si="2"/>
        <v>1606500</v>
      </c>
      <c r="G15" s="692">
        <f t="shared" si="3"/>
        <v>31365000</v>
      </c>
      <c r="H15" s="691">
        <f t="shared" si="4"/>
        <v>34501500</v>
      </c>
    </row>
    <row r="16" spans="1:8">
      <c r="A16" s="15">
        <v>7</v>
      </c>
      <c r="B16" s="32" t="s">
        <v>163</v>
      </c>
      <c r="C16" s="30">
        <v>170</v>
      </c>
      <c r="D16" s="691">
        <f t="shared" si="0"/>
        <v>1445000</v>
      </c>
      <c r="E16" s="692">
        <f t="shared" si="1"/>
        <v>1734000</v>
      </c>
      <c r="F16" s="691">
        <f t="shared" si="2"/>
        <v>1820700</v>
      </c>
      <c r="G16" s="692">
        <f t="shared" si="3"/>
        <v>35547000</v>
      </c>
      <c r="H16" s="691">
        <f t="shared" si="4"/>
        <v>39101700</v>
      </c>
    </row>
    <row r="17" spans="1:8">
      <c r="A17" s="15">
        <v>8</v>
      </c>
      <c r="B17" s="32" t="s">
        <v>164</v>
      </c>
      <c r="C17" s="30">
        <v>200</v>
      </c>
      <c r="D17" s="691">
        <f t="shared" si="0"/>
        <v>1700000</v>
      </c>
      <c r="E17" s="692">
        <f t="shared" si="1"/>
        <v>2040000</v>
      </c>
      <c r="F17" s="691">
        <f t="shared" si="2"/>
        <v>2142000</v>
      </c>
      <c r="G17" s="692">
        <f t="shared" si="3"/>
        <v>41820000</v>
      </c>
      <c r="H17" s="691">
        <f t="shared" si="4"/>
        <v>46002000</v>
      </c>
    </row>
    <row r="18" spans="1:8">
      <c r="A18" s="15">
        <v>9</v>
      </c>
      <c r="B18" s="32" t="s">
        <v>165</v>
      </c>
      <c r="C18" s="30">
        <v>15</v>
      </c>
      <c r="D18" s="691">
        <f t="shared" si="0"/>
        <v>127500</v>
      </c>
      <c r="E18" s="692">
        <f t="shared" si="1"/>
        <v>153000</v>
      </c>
      <c r="F18" s="691">
        <f t="shared" si="2"/>
        <v>160650</v>
      </c>
      <c r="G18" s="692">
        <f t="shared" si="3"/>
        <v>3136500</v>
      </c>
      <c r="H18" s="691">
        <f t="shared" si="4"/>
        <v>3450150</v>
      </c>
    </row>
    <row r="19" spans="1:8" ht="13.5" thickBot="1">
      <c r="A19" s="18">
        <v>10</v>
      </c>
      <c r="B19" s="33" t="s">
        <v>166</v>
      </c>
      <c r="C19" s="34">
        <v>20</v>
      </c>
      <c r="D19" s="691">
        <f t="shared" si="0"/>
        <v>170000</v>
      </c>
      <c r="E19" s="692">
        <f t="shared" si="1"/>
        <v>204000</v>
      </c>
      <c r="F19" s="691">
        <f t="shared" si="2"/>
        <v>214200</v>
      </c>
      <c r="G19" s="692">
        <f t="shared" si="3"/>
        <v>4182000</v>
      </c>
      <c r="H19" s="691">
        <f t="shared" si="4"/>
        <v>4600200</v>
      </c>
    </row>
    <row r="22" spans="1:8">
      <c r="A22" s="14" t="s">
        <v>24</v>
      </c>
    </row>
    <row r="23" spans="1:8" ht="15">
      <c r="A23" s="26" t="s">
        <v>167</v>
      </c>
      <c r="B23" s="26"/>
      <c r="C23" s="26"/>
      <c r="D23" s="26"/>
      <c r="E23" s="26"/>
    </row>
    <row r="24" spans="1:8" ht="15">
      <c r="A24" s="26" t="s">
        <v>168</v>
      </c>
      <c r="B24" s="26"/>
      <c r="C24" s="26"/>
      <c r="D24" s="26"/>
      <c r="E24" s="26"/>
    </row>
    <row r="25" spans="1:8" ht="15">
      <c r="A25" s="26" t="s">
        <v>169</v>
      </c>
      <c r="B25" s="26"/>
      <c r="C25" s="26"/>
      <c r="D25" s="26"/>
      <c r="E25" s="26"/>
    </row>
    <row r="26" spans="1:8" ht="15">
      <c r="A26" s="26" t="s">
        <v>170</v>
      </c>
      <c r="B26" s="26"/>
      <c r="C26" s="26"/>
      <c r="D26" s="26"/>
      <c r="E26" s="26"/>
    </row>
    <row r="27" spans="1:8" ht="15">
      <c r="A27" s="26" t="s">
        <v>171</v>
      </c>
      <c r="B27" s="26"/>
      <c r="C27" s="26"/>
      <c r="D27" s="26"/>
      <c r="E27" s="26"/>
    </row>
  </sheetData>
  <mergeCells count="10">
    <mergeCell ref="G8:G9"/>
    <mergeCell ref="H8:H9"/>
    <mergeCell ref="C8:D8"/>
    <mergeCell ref="A3:H3"/>
    <mergeCell ref="A4:H4"/>
    <mergeCell ref="A5:H5"/>
    <mergeCell ref="A8:A9"/>
    <mergeCell ref="B8:B9"/>
    <mergeCell ref="E8:E9"/>
    <mergeCell ref="F8:F9"/>
  </mergeCells>
  <phoneticPr fontId="5" type="noConversion"/>
  <conditionalFormatting sqref="A8:H1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5" right="0.75" top="1" bottom="1" header="0.5" footer="0.5"/>
  <pageSetup orientation="portrait" horizontalDpi="4294967293" verticalDpi="4294967293" r:id="rId1"/>
  <headerFooter alignWithMargins="0">
    <oddFooter>&amp;LLPIA CIBINONG&amp;C021- 87906767&amp;RLATIHAN EXCEL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25"/>
  <sheetViews>
    <sheetView topLeftCell="A5" workbookViewId="0">
      <selection activeCell="G12" sqref="G12"/>
    </sheetView>
  </sheetViews>
  <sheetFormatPr defaultRowHeight="12.75"/>
  <cols>
    <col min="1" max="1" width="6" customWidth="1"/>
    <col min="2" max="2" width="13.7109375" customWidth="1"/>
    <col min="3" max="3" width="11.85546875" customWidth="1"/>
    <col min="4" max="4" width="17.7109375" customWidth="1"/>
    <col min="5" max="5" width="10.85546875" customWidth="1"/>
    <col min="6" max="6" width="17.28515625" customWidth="1"/>
    <col min="7" max="7" width="14.5703125" customWidth="1"/>
    <col min="8" max="8" width="20.42578125" customWidth="1"/>
  </cols>
  <sheetData>
    <row r="1" spans="1:8" ht="17.25">
      <c r="A1" s="22" t="s">
        <v>193</v>
      </c>
    </row>
    <row r="3" spans="1:8" ht="15.75">
      <c r="B3" s="726" t="s">
        <v>194</v>
      </c>
      <c r="C3" s="726"/>
      <c r="D3" s="726"/>
      <c r="E3" s="726"/>
      <c r="F3" s="726"/>
      <c r="G3" s="726"/>
      <c r="H3" s="726"/>
    </row>
    <row r="4" spans="1:8" ht="15.75">
      <c r="B4" s="726" t="s">
        <v>213</v>
      </c>
      <c r="C4" s="726"/>
      <c r="D4" s="726"/>
      <c r="E4" s="726"/>
      <c r="F4" s="726"/>
      <c r="G4" s="726"/>
      <c r="H4" s="726"/>
    </row>
    <row r="5" spans="1:8">
      <c r="B5" s="697" t="s">
        <v>195</v>
      </c>
      <c r="C5" s="697"/>
      <c r="D5" s="697"/>
      <c r="E5" s="697"/>
      <c r="F5" s="697"/>
      <c r="G5" s="697"/>
      <c r="H5" s="697"/>
    </row>
    <row r="6" spans="1:8" ht="13.5" thickBot="1"/>
    <row r="7" spans="1:8" ht="16.5" thickTop="1">
      <c r="A7" s="9"/>
      <c r="B7" s="217" t="s">
        <v>103</v>
      </c>
      <c r="C7" s="218" t="s">
        <v>196</v>
      </c>
      <c r="D7" s="724" t="s">
        <v>69</v>
      </c>
      <c r="E7" s="218" t="s">
        <v>197</v>
      </c>
      <c r="F7" s="218" t="s">
        <v>198</v>
      </c>
      <c r="G7" s="724" t="s">
        <v>202</v>
      </c>
      <c r="H7" s="219" t="s">
        <v>198</v>
      </c>
    </row>
    <row r="8" spans="1:8" ht="16.5" thickBot="1">
      <c r="A8" s="9"/>
      <c r="B8" s="220" t="s">
        <v>199</v>
      </c>
      <c r="C8" s="221" t="s">
        <v>199</v>
      </c>
      <c r="D8" s="725"/>
      <c r="E8" s="221" t="s">
        <v>200</v>
      </c>
      <c r="F8" s="221" t="s">
        <v>201</v>
      </c>
      <c r="G8" s="725"/>
      <c r="H8" s="222" t="s">
        <v>203</v>
      </c>
    </row>
    <row r="9" spans="1:8" ht="15.75" thickBot="1">
      <c r="A9" s="9"/>
      <c r="B9" s="170" t="s">
        <v>204</v>
      </c>
      <c r="C9" s="172" t="s">
        <v>208</v>
      </c>
      <c r="D9" s="173" t="str">
        <f>IF(C9="KT","Karyawan Tetap","Karyawan Harian")</f>
        <v>Karyawan Tetap</v>
      </c>
      <c r="E9" s="172">
        <v>27</v>
      </c>
      <c r="F9" s="174">
        <f>IF(D9="Karyawan Tetap",3000000,2000000)</f>
        <v>3000000</v>
      </c>
      <c r="G9" s="385">
        <f>IF(E9&gt;=25,F9*15%)</f>
        <v>450000</v>
      </c>
      <c r="H9" s="175">
        <f>F9+G9</f>
        <v>3450000</v>
      </c>
    </row>
    <row r="10" spans="1:8" ht="15.75" thickBot="1">
      <c r="A10" s="9"/>
      <c r="B10" s="170" t="s">
        <v>205</v>
      </c>
      <c r="C10" s="172" t="s">
        <v>206</v>
      </c>
      <c r="D10" s="173" t="str">
        <f>IF(C10="KT","Karyawan Tetap","Karyawan Harian")</f>
        <v>Karyawan Harian</v>
      </c>
      <c r="E10" s="172">
        <v>23</v>
      </c>
      <c r="F10" s="174">
        <f>IF(D10="Karyawan Tetap",3000000,2000000)</f>
        <v>2000000</v>
      </c>
      <c r="G10" s="385">
        <f>IF(AND(E10&gt;=25),F10*15%,0)</f>
        <v>0</v>
      </c>
      <c r="H10" s="175">
        <f>F10+G10</f>
        <v>2000000</v>
      </c>
    </row>
    <row r="11" spans="1:8" ht="15.75" thickBot="1">
      <c r="A11" s="9"/>
      <c r="B11" s="170" t="s">
        <v>207</v>
      </c>
      <c r="C11" s="172" t="s">
        <v>208</v>
      </c>
      <c r="D11" s="173" t="str">
        <f>IF(C11="KT","Karyawan Tetap","Karyawan Harian")</f>
        <v>Karyawan Tetap</v>
      </c>
      <c r="E11" s="172">
        <v>28</v>
      </c>
      <c r="F11" s="174">
        <f>IF(D11="Karyawan Tetap",3000000,2000000)</f>
        <v>3000000</v>
      </c>
      <c r="G11" s="385">
        <f>IF(E11&gt;=25,15%*F11,0)</f>
        <v>450000</v>
      </c>
      <c r="H11" s="175">
        <f>F11+G11</f>
        <v>3450000</v>
      </c>
    </row>
    <row r="12" spans="1:8" ht="15.75" thickBot="1">
      <c r="A12" s="9"/>
      <c r="B12" s="170" t="s">
        <v>209</v>
      </c>
      <c r="C12" s="172" t="s">
        <v>206</v>
      </c>
      <c r="D12" s="173" t="str">
        <f>IF(C12="KT","Karyawan Tetap","Karyawan Harian")</f>
        <v>Karyawan Harian</v>
      </c>
      <c r="E12" s="172">
        <v>29</v>
      </c>
      <c r="F12" s="174">
        <f>IF(D12="Karyawan Tetap",3000000,2000000)</f>
        <v>2000000</v>
      </c>
      <c r="G12" s="385">
        <f>IF(E12&gt;=25,F12*15%,0)</f>
        <v>300000</v>
      </c>
      <c r="H12" s="175">
        <f>F12+G12</f>
        <v>2300000</v>
      </c>
    </row>
    <row r="13" spans="1:8" ht="15.75" thickBot="1">
      <c r="A13" s="9"/>
      <c r="B13" s="170" t="s">
        <v>210</v>
      </c>
      <c r="C13" s="172" t="s">
        <v>208</v>
      </c>
      <c r="D13" s="173" t="str">
        <f>IF(C13="KT","Karyawan Tetap","Karyawan Harian")</f>
        <v>Karyawan Tetap</v>
      </c>
      <c r="E13" s="176">
        <v>24</v>
      </c>
      <c r="F13" s="174">
        <f>IF(D13="Karyawan Tetap",3000000,2000000)</f>
        <v>3000000</v>
      </c>
      <c r="G13" s="385">
        <f>IF(E13&gt;=25,F13*15%,0)</f>
        <v>0</v>
      </c>
      <c r="H13" s="175">
        <f>F13+G13</f>
        <v>3000000</v>
      </c>
    </row>
    <row r="14" spans="1:8" ht="15.75" thickBot="1">
      <c r="A14" s="9"/>
      <c r="B14" s="177"/>
      <c r="C14" s="178"/>
      <c r="D14" s="178"/>
      <c r="E14" s="178"/>
      <c r="F14" s="179"/>
      <c r="G14" s="169" t="s">
        <v>211</v>
      </c>
      <c r="H14" s="171">
        <f>SUM(H9:H13)</f>
        <v>14200000</v>
      </c>
    </row>
    <row r="15" spans="1:8" ht="15.75" thickBot="1">
      <c r="A15" s="9"/>
      <c r="B15" s="180"/>
      <c r="C15" s="181"/>
      <c r="D15" s="181"/>
      <c r="E15" s="181"/>
      <c r="F15" s="182"/>
      <c r="G15" s="183" t="s">
        <v>212</v>
      </c>
      <c r="H15" s="171">
        <f>AVERAGE(H9:H13)</f>
        <v>2840000</v>
      </c>
    </row>
    <row r="16" spans="1:8">
      <c r="A16" s="35"/>
      <c r="B16" s="36"/>
      <c r="C16" s="36"/>
      <c r="D16" s="36"/>
      <c r="E16" s="36"/>
      <c r="F16" s="36"/>
      <c r="G16" s="36"/>
      <c r="H16" s="613"/>
    </row>
    <row r="17" spans="1:6" ht="14.25">
      <c r="A17" s="37" t="s">
        <v>217</v>
      </c>
      <c r="B17" s="38"/>
      <c r="C17" s="38"/>
      <c r="D17" s="38"/>
      <c r="E17" s="38"/>
      <c r="F17" s="38"/>
    </row>
    <row r="18" spans="1:6" ht="15">
      <c r="A18" s="38" t="s">
        <v>218</v>
      </c>
      <c r="B18" s="38"/>
      <c r="C18" s="38"/>
      <c r="D18" s="38"/>
      <c r="E18" s="38"/>
      <c r="F18" s="38"/>
    </row>
    <row r="19" spans="1:6" ht="14.25">
      <c r="A19" s="38"/>
      <c r="B19" s="38" t="s">
        <v>214</v>
      </c>
      <c r="C19" s="38"/>
      <c r="D19" s="38"/>
      <c r="E19" s="38"/>
      <c r="F19" s="38"/>
    </row>
    <row r="20" spans="1:6" ht="15">
      <c r="A20" s="38" t="s">
        <v>219</v>
      </c>
      <c r="B20" s="38"/>
      <c r="C20" s="38"/>
      <c r="D20" s="38"/>
      <c r="E20" s="38"/>
      <c r="F20" s="38"/>
    </row>
    <row r="21" spans="1:6" ht="14.25">
      <c r="A21" s="38"/>
      <c r="B21" s="38" t="s">
        <v>215</v>
      </c>
      <c r="C21" s="38"/>
      <c r="D21" s="38"/>
      <c r="E21" s="38"/>
      <c r="F21" s="38"/>
    </row>
    <row r="22" spans="1:6" ht="15">
      <c r="A22" s="38" t="s">
        <v>222</v>
      </c>
      <c r="B22" s="38"/>
      <c r="C22" s="38"/>
      <c r="D22" s="38"/>
      <c r="E22" s="38"/>
      <c r="F22" s="38"/>
    </row>
    <row r="23" spans="1:6" ht="14.25">
      <c r="A23" s="38"/>
      <c r="B23" s="38" t="s">
        <v>216</v>
      </c>
      <c r="C23" s="38"/>
      <c r="D23" s="38"/>
      <c r="E23" s="38"/>
      <c r="F23" s="38"/>
    </row>
    <row r="24" spans="1:6" ht="15">
      <c r="A24" s="38" t="s">
        <v>220</v>
      </c>
      <c r="B24" s="38"/>
      <c r="C24" s="38"/>
      <c r="D24" s="38"/>
      <c r="E24" s="38"/>
      <c r="F24" s="38"/>
    </row>
    <row r="25" spans="1:6" ht="15">
      <c r="A25" s="38" t="s">
        <v>221</v>
      </c>
      <c r="B25" s="38"/>
      <c r="C25" s="38"/>
      <c r="D25" s="38"/>
      <c r="E25" s="38"/>
      <c r="F25" s="38"/>
    </row>
  </sheetData>
  <mergeCells count="5">
    <mergeCell ref="D7:D8"/>
    <mergeCell ref="G7:G8"/>
    <mergeCell ref="B3:H3"/>
    <mergeCell ref="B4:H4"/>
    <mergeCell ref="B5:H5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CIBINONG&amp;C021-87906767&amp;RLATIHAN EXCEL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C11" sqref="C11"/>
    </sheetView>
  </sheetViews>
  <sheetFormatPr defaultRowHeight="12.75"/>
  <cols>
    <col min="1" max="1" width="16.7109375" bestFit="1" customWidth="1"/>
    <col min="2" max="6" width="12.5703125" customWidth="1"/>
    <col min="7" max="7" width="10.5703125" customWidth="1"/>
    <col min="8" max="9" width="15.85546875" bestFit="1" customWidth="1"/>
    <col min="10" max="10" width="10.5703125" bestFit="1" customWidth="1"/>
  </cols>
  <sheetData>
    <row r="3" spans="1:7">
      <c r="A3" s="672" t="s">
        <v>1267</v>
      </c>
      <c r="B3" s="672" t="s">
        <v>69</v>
      </c>
      <c r="C3" s="670"/>
      <c r="D3" s="670"/>
      <c r="E3" s="670"/>
      <c r="F3" s="670"/>
      <c r="G3" s="671"/>
    </row>
    <row r="4" spans="1:7">
      <c r="A4" s="672" t="s">
        <v>68</v>
      </c>
      <c r="B4" s="669" t="s">
        <v>89</v>
      </c>
      <c r="C4" s="676" t="s">
        <v>91</v>
      </c>
      <c r="D4" s="676" t="s">
        <v>90</v>
      </c>
      <c r="E4" s="676" t="s">
        <v>93</v>
      </c>
      <c r="F4" s="676" t="s">
        <v>92</v>
      </c>
      <c r="G4" s="673" t="s">
        <v>1268</v>
      </c>
    </row>
    <row r="5" spans="1:7">
      <c r="A5" s="669" t="s">
        <v>77</v>
      </c>
      <c r="B5" s="682"/>
      <c r="C5" s="683"/>
      <c r="D5" s="683">
        <v>5000000</v>
      </c>
      <c r="E5" s="683"/>
      <c r="F5" s="683"/>
      <c r="G5" s="679">
        <v>5000000</v>
      </c>
    </row>
    <row r="6" spans="1:7">
      <c r="A6" s="680" t="s">
        <v>79</v>
      </c>
      <c r="B6" s="684">
        <v>2750000</v>
      </c>
      <c r="C6" s="685"/>
      <c r="D6" s="685"/>
      <c r="E6" s="685"/>
      <c r="F6" s="685"/>
      <c r="G6" s="681">
        <v>2750000</v>
      </c>
    </row>
    <row r="7" spans="1:7">
      <c r="A7" s="680" t="s">
        <v>78</v>
      </c>
      <c r="B7" s="684"/>
      <c r="C7" s="685"/>
      <c r="D7" s="685"/>
      <c r="E7" s="685"/>
      <c r="F7" s="685">
        <v>1750000</v>
      </c>
      <c r="G7" s="681">
        <v>1750000</v>
      </c>
    </row>
    <row r="8" spans="1:7">
      <c r="A8" s="680" t="s">
        <v>83</v>
      </c>
      <c r="B8" s="684"/>
      <c r="C8" s="685">
        <v>2250000</v>
      </c>
      <c r="D8" s="685"/>
      <c r="E8" s="685"/>
      <c r="F8" s="685"/>
      <c r="G8" s="681">
        <v>2250000</v>
      </c>
    </row>
    <row r="9" spans="1:7">
      <c r="A9" s="680" t="s">
        <v>76</v>
      </c>
      <c r="B9" s="684">
        <v>3000000</v>
      </c>
      <c r="C9" s="685"/>
      <c r="D9" s="685"/>
      <c r="E9" s="685"/>
      <c r="F9" s="685"/>
      <c r="G9" s="681">
        <v>3000000</v>
      </c>
    </row>
    <row r="10" spans="1:7">
      <c r="A10" s="680" t="s">
        <v>80</v>
      </c>
      <c r="B10" s="684"/>
      <c r="C10" s="685">
        <v>2500000</v>
      </c>
      <c r="D10" s="685"/>
      <c r="E10" s="685"/>
      <c r="F10" s="685"/>
      <c r="G10" s="681">
        <v>2500000</v>
      </c>
    </row>
    <row r="11" spans="1:7">
      <c r="A11" s="680" t="s">
        <v>81</v>
      </c>
      <c r="B11" s="684"/>
      <c r="C11" s="685"/>
      <c r="D11" s="685"/>
      <c r="E11" s="685"/>
      <c r="F11" s="685">
        <v>1500000</v>
      </c>
      <c r="G11" s="681">
        <v>1500000</v>
      </c>
    </row>
    <row r="12" spans="1:7">
      <c r="A12" s="680" t="s">
        <v>82</v>
      </c>
      <c r="B12" s="684"/>
      <c r="C12" s="685"/>
      <c r="D12" s="685"/>
      <c r="E12" s="685">
        <v>2250000</v>
      </c>
      <c r="F12" s="685"/>
      <c r="G12" s="681">
        <v>2250000</v>
      </c>
    </row>
    <row r="13" spans="1:7">
      <c r="A13" s="674" t="s">
        <v>1268</v>
      </c>
      <c r="B13" s="677">
        <v>5750000</v>
      </c>
      <c r="C13" s="678">
        <v>4750000</v>
      </c>
      <c r="D13" s="678">
        <v>5000000</v>
      </c>
      <c r="E13" s="678">
        <v>2250000</v>
      </c>
      <c r="F13" s="678">
        <v>3250000</v>
      </c>
      <c r="G13" s="675">
        <v>21000000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G13"/>
  <sheetViews>
    <sheetView topLeftCell="A13" workbookViewId="0">
      <selection activeCell="A3" sqref="A3"/>
    </sheetView>
  </sheetViews>
  <sheetFormatPr defaultRowHeight="12.75"/>
  <cols>
    <col min="1" max="1" width="15.85546875" customWidth="1"/>
    <col min="2" max="6" width="12.5703125" customWidth="1"/>
    <col min="7" max="7" width="10.5703125" customWidth="1"/>
    <col min="8" max="11" width="16.7109375" bestFit="1" customWidth="1"/>
    <col min="12" max="12" width="21.5703125" bestFit="1" customWidth="1"/>
    <col min="13" max="13" width="20.140625" bestFit="1" customWidth="1"/>
  </cols>
  <sheetData>
    <row r="3" spans="1:7">
      <c r="A3" s="672" t="s">
        <v>1269</v>
      </c>
      <c r="B3" s="672" t="s">
        <v>69</v>
      </c>
      <c r="C3" s="670"/>
      <c r="D3" s="670"/>
      <c r="E3" s="670"/>
      <c r="F3" s="670"/>
      <c r="G3" s="671"/>
    </row>
    <row r="4" spans="1:7">
      <c r="A4" s="672" t="s">
        <v>68</v>
      </c>
      <c r="B4" s="669" t="s">
        <v>89</v>
      </c>
      <c r="C4" s="676" t="s">
        <v>91</v>
      </c>
      <c r="D4" s="676" t="s">
        <v>90</v>
      </c>
      <c r="E4" s="676" t="s">
        <v>93</v>
      </c>
      <c r="F4" s="676" t="s">
        <v>92</v>
      </c>
      <c r="G4" s="673" t="s">
        <v>1268</v>
      </c>
    </row>
    <row r="5" spans="1:7">
      <c r="A5" s="669" t="s">
        <v>77</v>
      </c>
      <c r="B5" s="682"/>
      <c r="C5" s="683"/>
      <c r="D5" s="683">
        <v>5400000</v>
      </c>
      <c r="E5" s="683"/>
      <c r="F5" s="683"/>
      <c r="G5" s="679">
        <v>5400000</v>
      </c>
    </row>
    <row r="6" spans="1:7">
      <c r="A6" s="680" t="s">
        <v>79</v>
      </c>
      <c r="B6" s="684">
        <v>2970000</v>
      </c>
      <c r="C6" s="685"/>
      <c r="D6" s="685"/>
      <c r="E6" s="685"/>
      <c r="F6" s="685"/>
      <c r="G6" s="681">
        <v>2970000</v>
      </c>
    </row>
    <row r="7" spans="1:7">
      <c r="A7" s="680" t="s">
        <v>78</v>
      </c>
      <c r="B7" s="684"/>
      <c r="C7" s="685"/>
      <c r="D7" s="685"/>
      <c r="E7" s="685"/>
      <c r="F7" s="685">
        <v>1890000</v>
      </c>
      <c r="G7" s="681">
        <v>1890000</v>
      </c>
    </row>
    <row r="8" spans="1:7">
      <c r="A8" s="680" t="s">
        <v>83</v>
      </c>
      <c r="B8" s="684"/>
      <c r="C8" s="685">
        <v>2430000</v>
      </c>
      <c r="D8" s="685"/>
      <c r="E8" s="685"/>
      <c r="F8" s="685"/>
      <c r="G8" s="681">
        <v>2430000</v>
      </c>
    </row>
    <row r="9" spans="1:7">
      <c r="A9" s="680" t="s">
        <v>76</v>
      </c>
      <c r="B9" s="684">
        <v>3240000</v>
      </c>
      <c r="C9" s="685"/>
      <c r="D9" s="685"/>
      <c r="E9" s="685"/>
      <c r="F9" s="685"/>
      <c r="G9" s="681">
        <v>3240000</v>
      </c>
    </row>
    <row r="10" spans="1:7">
      <c r="A10" s="680" t="s">
        <v>80</v>
      </c>
      <c r="B10" s="684"/>
      <c r="C10" s="685">
        <v>2700000</v>
      </c>
      <c r="D10" s="685"/>
      <c r="E10" s="685"/>
      <c r="F10" s="685"/>
      <c r="G10" s="681">
        <v>2700000</v>
      </c>
    </row>
    <row r="11" spans="1:7">
      <c r="A11" s="680" t="s">
        <v>81</v>
      </c>
      <c r="B11" s="684"/>
      <c r="C11" s="685"/>
      <c r="D11" s="685"/>
      <c r="E11" s="685"/>
      <c r="F11" s="685">
        <v>1620000</v>
      </c>
      <c r="G11" s="681">
        <v>1620000</v>
      </c>
    </row>
    <row r="12" spans="1:7">
      <c r="A12" s="680" t="s">
        <v>82</v>
      </c>
      <c r="B12" s="684"/>
      <c r="C12" s="685"/>
      <c r="D12" s="685"/>
      <c r="E12" s="685">
        <v>2430000</v>
      </c>
      <c r="F12" s="685"/>
      <c r="G12" s="681">
        <v>2430000</v>
      </c>
    </row>
    <row r="13" spans="1:7">
      <c r="A13" s="674" t="s">
        <v>1268</v>
      </c>
      <c r="B13" s="677">
        <v>6210000</v>
      </c>
      <c r="C13" s="678">
        <v>5130000</v>
      </c>
      <c r="D13" s="678">
        <v>5400000</v>
      </c>
      <c r="E13" s="678">
        <v>2430000</v>
      </c>
      <c r="F13" s="678">
        <v>3510000</v>
      </c>
      <c r="G13" s="675">
        <v>22680000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4"/>
  <sheetViews>
    <sheetView topLeftCell="A25" workbookViewId="0">
      <selection activeCell="I32" sqref="I32"/>
    </sheetView>
  </sheetViews>
  <sheetFormatPr defaultRowHeight="12.75"/>
  <cols>
    <col min="1" max="1" width="14.7109375" customWidth="1"/>
    <col min="2" max="2" width="14.140625" customWidth="1"/>
    <col min="3" max="3" width="14.5703125" hidden="1" customWidth="1"/>
    <col min="4" max="5" width="12" hidden="1" customWidth="1"/>
    <col min="6" max="6" width="12.5703125" hidden="1" customWidth="1"/>
    <col min="7" max="7" width="12.85546875" hidden="1" customWidth="1"/>
    <col min="8" max="8" width="16.42578125" customWidth="1"/>
    <col min="9" max="9" width="13.5703125" bestFit="1" customWidth="1"/>
  </cols>
  <sheetData>
    <row r="1" spans="1:9" ht="17.25">
      <c r="A1" s="22" t="s">
        <v>64</v>
      </c>
    </row>
    <row r="3" spans="1:9">
      <c r="A3" s="697" t="s">
        <v>65</v>
      </c>
      <c r="B3" s="697"/>
      <c r="C3" s="697"/>
      <c r="D3" s="697"/>
      <c r="E3" s="697"/>
      <c r="F3" s="697"/>
      <c r="G3" s="697"/>
      <c r="H3" s="697"/>
    </row>
    <row r="4" spans="1:9">
      <c r="A4" s="697" t="s">
        <v>66</v>
      </c>
      <c r="B4" s="697"/>
      <c r="C4" s="697"/>
      <c r="D4" s="697"/>
      <c r="E4" s="697"/>
      <c r="F4" s="697"/>
      <c r="G4" s="697"/>
      <c r="H4" s="697"/>
    </row>
    <row r="5" spans="1:9">
      <c r="A5" s="697" t="s">
        <v>67</v>
      </c>
      <c r="B5" s="697"/>
      <c r="C5" s="697"/>
      <c r="D5" s="697"/>
      <c r="E5" s="697"/>
      <c r="F5" s="697"/>
      <c r="G5" s="697"/>
      <c r="H5" s="697"/>
    </row>
    <row r="7" spans="1:9" ht="26.25" thickBot="1">
      <c r="A7" s="119" t="s">
        <v>68</v>
      </c>
      <c r="B7" s="119" t="s">
        <v>69</v>
      </c>
      <c r="C7" s="119" t="s">
        <v>70</v>
      </c>
      <c r="D7" s="119" t="s">
        <v>71</v>
      </c>
      <c r="E7" s="119" t="s">
        <v>72</v>
      </c>
      <c r="F7" s="119" t="s">
        <v>73</v>
      </c>
      <c r="G7" s="119" t="s">
        <v>74</v>
      </c>
      <c r="H7" s="119" t="s">
        <v>75</v>
      </c>
    </row>
    <row r="8" spans="1:9" ht="13.5" thickTop="1">
      <c r="A8" s="120" t="s">
        <v>76</v>
      </c>
      <c r="B8" s="137" t="s">
        <v>89</v>
      </c>
      <c r="C8" s="121">
        <v>3000000</v>
      </c>
      <c r="D8" s="379">
        <f t="shared" ref="D8:D15" si="0">3%*C8</f>
        <v>90000</v>
      </c>
      <c r="E8" s="379">
        <f t="shared" ref="E8:E15" si="1">2%*C8</f>
        <v>60000</v>
      </c>
      <c r="F8" s="379">
        <f t="shared" ref="F8:F15" si="2">7.5%*C8</f>
        <v>225000</v>
      </c>
      <c r="G8" s="379">
        <f t="shared" ref="G8:G15" si="3">2.5%*C8</f>
        <v>75000</v>
      </c>
      <c r="H8" s="379">
        <f>C8+D8+F8-G8</f>
        <v>3240000</v>
      </c>
      <c r="I8" s="25"/>
    </row>
    <row r="9" spans="1:9">
      <c r="A9" s="122" t="s">
        <v>77</v>
      </c>
      <c r="B9" s="132" t="s">
        <v>90</v>
      </c>
      <c r="C9" s="123">
        <v>5000000</v>
      </c>
      <c r="D9" s="379">
        <f t="shared" si="0"/>
        <v>150000</v>
      </c>
      <c r="E9" s="379">
        <f t="shared" si="1"/>
        <v>100000</v>
      </c>
      <c r="F9" s="379">
        <f t="shared" si="2"/>
        <v>375000</v>
      </c>
      <c r="G9" s="379">
        <f t="shared" si="3"/>
        <v>125000</v>
      </c>
      <c r="H9" s="379">
        <f t="shared" ref="H9:H15" si="4">C9+D9+F9-G9</f>
        <v>5400000</v>
      </c>
    </row>
    <row r="10" spans="1:9">
      <c r="A10" s="122" t="s">
        <v>78</v>
      </c>
      <c r="B10" s="132" t="s">
        <v>92</v>
      </c>
      <c r="C10" s="123">
        <v>1750000</v>
      </c>
      <c r="D10" s="379">
        <f t="shared" si="0"/>
        <v>52500</v>
      </c>
      <c r="E10" s="379">
        <f t="shared" si="1"/>
        <v>35000</v>
      </c>
      <c r="F10" s="379">
        <f t="shared" si="2"/>
        <v>131250</v>
      </c>
      <c r="G10" s="379">
        <f t="shared" si="3"/>
        <v>43750</v>
      </c>
      <c r="H10" s="379">
        <f t="shared" si="4"/>
        <v>1890000</v>
      </c>
    </row>
    <row r="11" spans="1:9">
      <c r="A11" s="122" t="s">
        <v>79</v>
      </c>
      <c r="B11" s="132" t="s">
        <v>89</v>
      </c>
      <c r="C11" s="123">
        <v>2750000</v>
      </c>
      <c r="D11" s="379">
        <f t="shared" si="0"/>
        <v>82500</v>
      </c>
      <c r="E11" s="379">
        <f t="shared" si="1"/>
        <v>55000</v>
      </c>
      <c r="F11" s="379">
        <f t="shared" si="2"/>
        <v>206250</v>
      </c>
      <c r="G11" s="379">
        <f t="shared" si="3"/>
        <v>68750</v>
      </c>
      <c r="H11" s="379">
        <f t="shared" si="4"/>
        <v>2970000</v>
      </c>
    </row>
    <row r="12" spans="1:9">
      <c r="A12" s="122" t="s">
        <v>80</v>
      </c>
      <c r="B12" s="132" t="s">
        <v>91</v>
      </c>
      <c r="C12" s="123">
        <v>2500000</v>
      </c>
      <c r="D12" s="379">
        <f t="shared" si="0"/>
        <v>75000</v>
      </c>
      <c r="E12" s="379">
        <f t="shared" si="1"/>
        <v>50000</v>
      </c>
      <c r="F12" s="379">
        <f t="shared" si="2"/>
        <v>187500</v>
      </c>
      <c r="G12" s="379">
        <f t="shared" si="3"/>
        <v>62500</v>
      </c>
      <c r="H12" s="379">
        <f t="shared" si="4"/>
        <v>2700000</v>
      </c>
    </row>
    <row r="13" spans="1:9">
      <c r="A13" s="122" t="s">
        <v>81</v>
      </c>
      <c r="B13" s="132" t="s">
        <v>92</v>
      </c>
      <c r="C13" s="123">
        <v>1500000</v>
      </c>
      <c r="D13" s="379">
        <f t="shared" si="0"/>
        <v>45000</v>
      </c>
      <c r="E13" s="379">
        <f t="shared" si="1"/>
        <v>30000</v>
      </c>
      <c r="F13" s="379">
        <f t="shared" si="2"/>
        <v>112500</v>
      </c>
      <c r="G13" s="379">
        <f t="shared" si="3"/>
        <v>37500</v>
      </c>
      <c r="H13" s="379">
        <f t="shared" si="4"/>
        <v>1620000</v>
      </c>
    </row>
    <row r="14" spans="1:9">
      <c r="A14" s="122" t="s">
        <v>82</v>
      </c>
      <c r="B14" s="132" t="s">
        <v>93</v>
      </c>
      <c r="C14" s="123">
        <v>2250000</v>
      </c>
      <c r="D14" s="379">
        <f t="shared" si="0"/>
        <v>67500</v>
      </c>
      <c r="E14" s="379">
        <f t="shared" si="1"/>
        <v>45000</v>
      </c>
      <c r="F14" s="379">
        <f t="shared" si="2"/>
        <v>168750</v>
      </c>
      <c r="G14" s="379">
        <f t="shared" si="3"/>
        <v>56250</v>
      </c>
      <c r="H14" s="379">
        <f t="shared" si="4"/>
        <v>2430000</v>
      </c>
    </row>
    <row r="15" spans="1:9" ht="13.5" thickBot="1">
      <c r="A15" s="124" t="s">
        <v>83</v>
      </c>
      <c r="B15" s="133" t="s">
        <v>91</v>
      </c>
      <c r="C15" s="125">
        <v>2250000</v>
      </c>
      <c r="D15" s="379">
        <f t="shared" si="0"/>
        <v>67500</v>
      </c>
      <c r="E15" s="379">
        <f t="shared" si="1"/>
        <v>45000</v>
      </c>
      <c r="F15" s="379">
        <f t="shared" si="2"/>
        <v>168750</v>
      </c>
      <c r="G15" s="379">
        <f t="shared" si="3"/>
        <v>56250</v>
      </c>
      <c r="H15" s="379">
        <f t="shared" si="4"/>
        <v>2430000</v>
      </c>
    </row>
    <row r="16" spans="1:9" ht="14.25" thickTop="1" thickBot="1">
      <c r="A16" s="126" t="s">
        <v>84</v>
      </c>
      <c r="B16" s="127"/>
      <c r="C16" s="127"/>
      <c r="D16" s="127"/>
      <c r="E16" s="127"/>
      <c r="F16" s="127"/>
      <c r="G16" s="128"/>
      <c r="H16" s="380">
        <f>SUM(H8:H15)</f>
        <v>22680000</v>
      </c>
    </row>
    <row r="17" spans="1:8" ht="13.5" thickBot="1">
      <c r="A17" s="129" t="s">
        <v>85</v>
      </c>
      <c r="B17" s="130"/>
      <c r="C17" s="130"/>
      <c r="D17" s="130"/>
      <c r="E17" s="130"/>
      <c r="F17" s="130"/>
      <c r="G17" s="131"/>
      <c r="H17" s="381">
        <f>MAX(H8:H15)</f>
        <v>5400000</v>
      </c>
    </row>
    <row r="18" spans="1:8" ht="13.5" thickBot="1">
      <c r="A18" s="129" t="s">
        <v>86</v>
      </c>
      <c r="B18" s="130"/>
      <c r="C18" s="130"/>
      <c r="D18" s="130"/>
      <c r="E18" s="130"/>
      <c r="F18" s="130"/>
      <c r="G18" s="131"/>
      <c r="H18" s="381">
        <f>MIN(H8:H15)</f>
        <v>1620000</v>
      </c>
    </row>
    <row r="19" spans="1:8" ht="13.5" thickBot="1">
      <c r="A19" s="129" t="s">
        <v>87</v>
      </c>
      <c r="B19" s="130"/>
      <c r="C19" s="130"/>
      <c r="D19" s="130"/>
      <c r="E19" s="130"/>
      <c r="F19" s="130"/>
      <c r="G19" s="131"/>
      <c r="H19" s="381">
        <f>AVERAGE(H8:H15)</f>
        <v>2835000</v>
      </c>
    </row>
    <row r="20" spans="1:8" ht="13.5" thickBot="1">
      <c r="A20" s="129" t="s">
        <v>88</v>
      </c>
      <c r="B20" s="130"/>
      <c r="C20" s="130"/>
      <c r="D20" s="130"/>
      <c r="E20" s="130"/>
      <c r="F20" s="130"/>
      <c r="G20" s="131"/>
      <c r="H20" s="382"/>
    </row>
    <row r="22" spans="1:8" ht="15">
      <c r="A22" s="24" t="s">
        <v>24</v>
      </c>
      <c r="B22" s="23"/>
      <c r="G22" s="383" t="s">
        <v>944</v>
      </c>
      <c r="H22" s="383" t="s">
        <v>945</v>
      </c>
    </row>
    <row r="23" spans="1:8" ht="15">
      <c r="A23" s="23" t="s">
        <v>94</v>
      </c>
      <c r="B23" s="23"/>
      <c r="F23" s="136" t="s">
        <v>933</v>
      </c>
      <c r="G23" s="136" t="s">
        <v>934</v>
      </c>
      <c r="H23" s="136" t="s">
        <v>112</v>
      </c>
    </row>
    <row r="24" spans="1:8" ht="15">
      <c r="A24" s="23" t="s">
        <v>95</v>
      </c>
      <c r="B24" s="23"/>
      <c r="F24" s="134" t="s">
        <v>89</v>
      </c>
      <c r="G24" s="16">
        <f>COUNTIF($B$8:$B$15,F24)</f>
        <v>2</v>
      </c>
      <c r="H24" s="135">
        <f>SUMIF($B$8:$B$15,F24,$H$8:$H$15)</f>
        <v>6210000</v>
      </c>
    </row>
    <row r="25" spans="1:8" ht="15">
      <c r="A25" s="23" t="s">
        <v>96</v>
      </c>
      <c r="B25" s="23"/>
      <c r="F25" s="134" t="s">
        <v>90</v>
      </c>
      <c r="G25" s="16">
        <f>COUNTIF($B$8:$B$15,F25)</f>
        <v>1</v>
      </c>
      <c r="H25" s="135">
        <f>SUMIF($B$8:$B$15,F25,$H$8:$H$15)</f>
        <v>5400000</v>
      </c>
    </row>
    <row r="26" spans="1:8" ht="15">
      <c r="A26" s="23" t="s">
        <v>97</v>
      </c>
      <c r="B26" s="23"/>
      <c r="F26" s="134" t="s">
        <v>92</v>
      </c>
      <c r="G26" s="16">
        <f>COUNTIF($B$8:$B$15,F26)</f>
        <v>2</v>
      </c>
      <c r="H26" s="135">
        <f>SUMIF($B$8:$B$15,F26,$H$8:$H$15)</f>
        <v>3510000</v>
      </c>
    </row>
    <row r="27" spans="1:8" ht="15">
      <c r="A27" s="23" t="s">
        <v>98</v>
      </c>
      <c r="B27" s="23"/>
      <c r="F27" s="134" t="s">
        <v>91</v>
      </c>
      <c r="G27" s="16">
        <f>COUNTIF($B$8:$B$15,F27)</f>
        <v>2</v>
      </c>
      <c r="H27" s="135">
        <f>SUMIF($B$8:$B$15,F27,$H$8:$H$15)</f>
        <v>5130000</v>
      </c>
    </row>
    <row r="28" spans="1:8" ht="15">
      <c r="A28" s="23" t="s">
        <v>180</v>
      </c>
      <c r="B28" s="23"/>
      <c r="F28" s="134" t="s">
        <v>93</v>
      </c>
      <c r="G28" s="16">
        <f>COUNTIF($B$8:$B$15,F28)</f>
        <v>1</v>
      </c>
      <c r="H28" s="135">
        <f>SUMIF($B$8:$B$15,F28,$H$8:$H$15)</f>
        <v>2430000</v>
      </c>
    </row>
    <row r="29" spans="1:8" ht="15">
      <c r="A29" s="23" t="s">
        <v>181</v>
      </c>
      <c r="B29" s="23"/>
      <c r="F29" s="56"/>
    </row>
    <row r="30" spans="1:8" ht="15">
      <c r="A30" s="23" t="s">
        <v>182</v>
      </c>
      <c r="B30" s="23"/>
      <c r="F30" s="61"/>
    </row>
    <row r="31" spans="1:8" ht="15">
      <c r="A31" s="23" t="s">
        <v>183</v>
      </c>
      <c r="B31" s="23"/>
      <c r="F31" s="56"/>
    </row>
    <row r="32" spans="1:8" ht="15">
      <c r="A32" s="23" t="s">
        <v>184</v>
      </c>
      <c r="B32" s="23"/>
    </row>
    <row r="33" spans="1:1" ht="14.25">
      <c r="A33" s="23" t="s">
        <v>936</v>
      </c>
    </row>
    <row r="34" spans="1:1">
      <c r="A34" s="14" t="s">
        <v>935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3:H3"/>
    <mergeCell ref="A4:H4"/>
    <mergeCell ref="A5:H5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>
    <oddFooter>&amp;LLPIA Cibinong&amp;C021-87906787&amp;RLATIHAN EXCEL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6</vt:i4>
      </vt:variant>
    </vt:vector>
  </HeadingPairs>
  <TitlesOfParts>
    <vt:vector size="42" baseType="lpstr">
      <vt:lpstr>1</vt:lpstr>
      <vt:lpstr>2</vt:lpstr>
      <vt:lpstr>3</vt:lpstr>
      <vt:lpstr>4</vt:lpstr>
      <vt:lpstr>5</vt:lpstr>
      <vt:lpstr>6</vt:lpstr>
      <vt:lpstr>Sheet1</vt:lpstr>
      <vt:lpstr>Sheet2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Tambahan</vt:lpstr>
      <vt:lpstr>plus</vt:lpstr>
      <vt:lpstr>grafik</vt:lpstr>
      <vt:lpstr>Sheet3</vt:lpstr>
      <vt:lpstr>BARANG</vt:lpstr>
      <vt:lpstr>Kode</vt:lpstr>
      <vt:lpstr>KODE_2</vt:lpstr>
      <vt:lpstr>KODE_BARANG</vt:lpstr>
      <vt:lpstr>tabel1</vt:lpstr>
      <vt:lpstr>tabel2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kosngosan</dc:creator>
  <cp:lastModifiedBy>acer</cp:lastModifiedBy>
  <cp:lastPrinted>2005-07-28T05:04:18Z</cp:lastPrinted>
  <dcterms:created xsi:type="dcterms:W3CDTF">2004-12-27T04:57:24Z</dcterms:created>
  <dcterms:modified xsi:type="dcterms:W3CDTF">2021-05-20T07:29:00Z</dcterms:modified>
</cp:coreProperties>
</file>